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2"/>
  </bookViews>
  <sheets>
    <sheet name="招标清单封面" sheetId="3" r:id="rId1"/>
    <sheet name="编制说明" sheetId="5" r:id="rId2"/>
    <sheet name="一期造价汇总" sheetId="1" r:id="rId3"/>
    <sheet name="1、智能化清单" sheetId="2" r:id="rId4"/>
  </sheets>
  <definedNames>
    <definedName name="_xlnm.Print_Area" localSheetId="1">编制说明!$A$1:$C$27</definedName>
    <definedName name="_xlnm.Print_Area" localSheetId="2">一期造价汇总!$A$1:$F$21</definedName>
    <definedName name="_xlnm.Print_Area" localSheetId="3">'1、智能化清单'!$A$1:$AM$372</definedName>
  </definedNames>
  <calcPr calcId="144525"/>
</workbook>
</file>

<file path=xl/sharedStrings.xml><?xml version="1.0" encoding="utf-8"?>
<sst xmlns="http://schemas.openxmlformats.org/spreadsheetml/2006/main" count="1436" uniqueCount="725">
  <si>
    <t>北投溪境项目智能化施工</t>
  </si>
  <si>
    <t>工程</t>
  </si>
  <si>
    <t>投 标 总 价</t>
  </si>
  <si>
    <t>招  标  人:</t>
  </si>
  <si>
    <t>广西北投华城地产置业有限公司</t>
  </si>
  <si>
    <t>工 程 名 称:</t>
  </si>
  <si>
    <t>北投溪境项目智能化施工工程</t>
  </si>
  <si>
    <t xml:space="preserve">  投 标 总 价</t>
  </si>
  <si>
    <t>(小写):</t>
  </si>
  <si>
    <t>(大写):</t>
  </si>
  <si>
    <t xml:space="preserve">  投  标  人:</t>
  </si>
  <si>
    <t>（单位盖章）</t>
  </si>
  <si>
    <t xml:space="preserve">  法定代表人 </t>
  </si>
  <si>
    <t>或其授权人：</t>
  </si>
  <si>
    <t>（签字或盖章））</t>
  </si>
  <si>
    <t>编  制  人：</t>
  </si>
  <si>
    <t>（造价人员签字）</t>
  </si>
  <si>
    <t xml:space="preserve">  时 间:</t>
  </si>
  <si>
    <t>2023年11月13日</t>
  </si>
  <si>
    <t>扉-3</t>
  </si>
  <si>
    <t>清单编制说明</t>
  </si>
  <si>
    <t>一</t>
  </si>
  <si>
    <t>总论</t>
  </si>
  <si>
    <t>1</t>
  </si>
  <si>
    <t>招标工程</t>
  </si>
  <si>
    <t>2</t>
  </si>
  <si>
    <t>合同价款形式</t>
  </si>
  <si>
    <t>本工程实行固定综合单价。</t>
  </si>
  <si>
    <t>编制依据</t>
  </si>
  <si>
    <t>本工程量清单根据招标图纸及市场清单编制,详见合同附件的图纸目录。</t>
  </si>
  <si>
    <t>编制范围</t>
  </si>
  <si>
    <t>本次招标范围：北投溪境（1-3#、5-13#、15#、16#-1、16#-2、S2、地下室、总平）智能化工程，包括以下系统：（依据招标图纸内容调整）本次设计范围包括智能化集成系统、智慧信息服务系统、物业管理系统、综合布线系统、信息网络系统、有线电视系统、公共广播系统、信息导引及发布系统、环境监测系统、入侵报警系统、视频安防监控系统、出入口控制系统、电子巡查系统、访客对讲系统、停车库(场)管理系统、机房工程、建筑物电子信息系统防雷、室外智能化总平管网、移动通信室内信号覆盖系统、电梯五方通话系统等20个智能化子系统等。总建筑面积约为261909.45㎡（其中1#楼建筑面积13942.42㎡；2#建筑面积14957.96㎡；3#建筑面积15162.08㎡；5#建筑面积13034.10㎡；6#建筑面积13091.03㎡；7#建筑面积14965.94㎡；8#建筑面积13790.56㎡；9#建筑面积14778.66㎡；10#建筑面积13628.50㎡；11#建筑面积14687.50㎡；12#建筑面积12067.53㎡；13#建筑面积7888.09㎡；15#建筑面积6579.39㎡；16#-1建筑面积13981.69㎡；16#-2建筑面积15173.06㎡；S2建筑面积870.91㎡；地下室地下2层，建筑面积63310.03㎡）。</t>
  </si>
  <si>
    <t>二</t>
  </si>
  <si>
    <t>报价要求（通用）</t>
  </si>
  <si>
    <t>投标单位按照招标单位提供的招标文件编制报价书，并按招标文件提供的格式填写；投标单位必须严格执行技术标的要求报价，自行到现场勘察，否则由此造成的损失由投标单位自行承担；有必要时由招标单位提供书面答疑。</t>
  </si>
  <si>
    <t>投标单位对本次招标的全部技术要求、招标文件、合同条件等情况应均已详细研究。投标报价中已按招标文件和合同条款中的质量标准、工期等要求充分考虑，及已充分考虑管理、利润、税金及附加的其它费用等因素，保证投标报价准确无误，如有错漏概由投标单位负责。</t>
  </si>
  <si>
    <t>3</t>
  </si>
  <si>
    <t>各报价单位有自行对施工现场进行勘察评估、核实设计图纸与现场的尺寸偏差、复核清单项目内容、工程量等与本工程造价相关的全部因素的权利及义务。</t>
  </si>
  <si>
    <t>本项目清单报价方应严格按甲方要求格式填写，清单的项目、工程量、单价的组成均不能擅自修改。综合单价构成的“其中包括”一栏里“人工、“主材”(含损耗及加工)、“辅材”、“机械”均指该清单项目为完成其所必须的全部工序的直接成本费（包括图纸且不限于图纸体现出需按施工规范要求完成的全部内容），报价单位不得将除“直接成本”中的“人、材、机、辅”以外的全部其它费用（包括且不限于利润、管理费及其它）转移或分摊报在上述三者中，报价单位可于“管理费、利润”一列中分别计取。</t>
  </si>
  <si>
    <t>投标单位根据“主要设备材料品牌表”中品牌填报到对应分部分项内容中</t>
  </si>
  <si>
    <t>综合单
价规定</t>
  </si>
  <si>
    <t>工程量清单中综合单价（包括但不限于以下内容）：
（1）人工及所有有关费用（如需提供样板，包含样板制作）；
（2）材料、物品及所有有关费用（如：制作、运输、交、卸货、储存、包装、搬运、提升、放置等）；
（3）损耗费（除特别说明外，总价或综合单价均已考虑损耗）；
（4）辅料及临时措施、安全文明措施（指定可计收如材料二次搬运费、垃圾清理及外运费用除外）；
（5）施工机械的台数需满足招标单位施工进度要求，本费用（含进退场费等）已含在综合单价中，不得以工期调整等任何原因签证增加进退场费用；
（6）木器处理 [防腐、防火、白蚁防治，另饰面板须含油清漆、手扫漆；
（7）材料检测、试验费；
（8）因质量问题引起维修更换；
（9）本工程的技术指导；
（10）原材料涨价所有一切风险；
（11）装备台班费、开支及利润；
（12）保险费用；
（13）管理费用及利润；
（14）本工程施工用水用电费用；
 (15)政策性文件规定及合同包含的所有风险、责任等各项应有费用；
（16)总承包服务费、工程竣工验收、城建开挖及恢复报批费用。
为完成清单项目所需的一切费用，为综合单价。不再列任何其它费用。各施工单位不得就同一项目必须的施工工序及材料进行拆分另行计收费用；</t>
  </si>
  <si>
    <t>三</t>
  </si>
  <si>
    <t>编制说明</t>
  </si>
  <si>
    <t>注意事项（通用）</t>
  </si>
  <si>
    <t>（1）报价中已充分考虑施工期内人工、材料和机械的价格波动风险；</t>
  </si>
  <si>
    <t>（2）承包单位在报价中已充分考虑停电、停水、二次搬运、施工场地不足、成品保护等所需措施的一切费用和工期，并已考虑了各种可能因素影响施工所增加的费用；</t>
  </si>
  <si>
    <t>（3）本工程所有建筑垃圾，承包单位必须自行清理、工完场清，发生的费用，已考虑在投标报价中；</t>
  </si>
  <si>
    <t>（4）成品、半成品、材料的进场和堆放应按进度计划进行，并须事先取得监理、招标单位的同意。在收到监理或招标单位工程师书面通知24小时内, 必须进场施工；</t>
  </si>
  <si>
    <t>（5）临时发电、临时接水的费用需包含在综合单价中；</t>
  </si>
  <si>
    <t>（6）工作面范围内的降排水工作，请承包单位自行考虑现场及季节情况在报价中综合考虑。承包单位进场后，场地内的全部降排水由承包单位负责，直至承包单位撤场；</t>
  </si>
  <si>
    <t>（7）承包单位应考虑到运输距离所产生的费用，并相应报在综合单价的综合措施费中；</t>
  </si>
  <si>
    <t>（8）施工用水电费：施工用水电由发包单位提供水电接驳点，中标单位挂表自行缴费，该费用应考虑在综合单价中，不另外行列项计算。</t>
  </si>
  <si>
    <t>（9）经发包方审定后的综合单价同样适用于设计变更和签证的结算。本次投标的产品须满足工程量清单及技术标要求，并须满足水务相关国家标准，地方标准，以及水务相关技术和质量要求。</t>
  </si>
  <si>
    <t>注意事项（专用）</t>
  </si>
  <si>
    <t>（1）关于主材、机械及辅材填写的约定：所有项目主材的损耗、加工费用均按包含在主材费内，不能在“辅材”里面考虑。划分准则是基于日后出现主材设计变更时可作出清晰、明确的替换。</t>
  </si>
  <si>
    <t>（2）除有特别的标注或说明之外，所有的材料均按乙供考虑（具体详见清单描述）。</t>
  </si>
  <si>
    <t>（3）现场成品保护、卫生清洁、垃圾搬运、清运、措施费、规费、安全文明施工费等应考虑在综合单价中，不另外行列项计算，报价单位不得在后期施工变更及增加签证时重列计收费用。</t>
  </si>
  <si>
    <t>（4）本工程采取的是发包人提供施工图，由承包人根据施工图、现场踏勘的情况，考虑可能发生的成本、费用及合理利润的基础上报价，工程量以竣工后承包人实际完成并经发包人验收合格的工程量确定。</t>
  </si>
  <si>
    <t>序号</t>
  </si>
  <si>
    <t>工程名称</t>
  </si>
  <si>
    <t>建筑面积（㎡）</t>
  </si>
  <si>
    <t>报价合计（含税）（元）</t>
  </si>
  <si>
    <t>建筑面积单方（元/㎡）</t>
  </si>
  <si>
    <t>备注</t>
  </si>
  <si>
    <t>智能设备专网系统</t>
  </si>
  <si>
    <t>视频安防监控系统</t>
  </si>
  <si>
    <t>访客对讲系统</t>
  </si>
  <si>
    <t>电梯五方通话系统</t>
  </si>
  <si>
    <t>电子巡更系统</t>
  </si>
  <si>
    <t>公共广播系统</t>
  </si>
  <si>
    <t>出入口控制系统</t>
  </si>
  <si>
    <t>停车场管理系统</t>
  </si>
  <si>
    <t>入侵报警系统</t>
  </si>
  <si>
    <t>建筑物电子信息系统防雷</t>
  </si>
  <si>
    <t>光纤入户系统</t>
  </si>
  <si>
    <t>智慧信息服务系统</t>
  </si>
  <si>
    <t>物业管理系统</t>
  </si>
  <si>
    <t>智能化集成系统</t>
  </si>
  <si>
    <t>机房工程</t>
  </si>
  <si>
    <t>有线电视系统</t>
  </si>
  <si>
    <t>与光纤入户共用</t>
  </si>
  <si>
    <t>信息导引发布系统</t>
  </si>
  <si>
    <t>环境监测系统</t>
  </si>
  <si>
    <t>总价</t>
  </si>
  <si>
    <t>设备名称</t>
  </si>
  <si>
    <t>参数及性能指标要求</t>
  </si>
  <si>
    <t>品牌</t>
  </si>
  <si>
    <t>报价品牌及型号</t>
  </si>
  <si>
    <t>报价参数</t>
  </si>
  <si>
    <t>单位</t>
  </si>
  <si>
    <t>1#</t>
  </si>
  <si>
    <t>2#</t>
  </si>
  <si>
    <t>3#</t>
  </si>
  <si>
    <t>5#</t>
  </si>
  <si>
    <t>6#</t>
  </si>
  <si>
    <t>7#</t>
  </si>
  <si>
    <t>8#</t>
  </si>
  <si>
    <t>9#</t>
  </si>
  <si>
    <t>10#</t>
  </si>
  <si>
    <t>11#</t>
  </si>
  <si>
    <t>12#</t>
  </si>
  <si>
    <t>13#</t>
  </si>
  <si>
    <t>15#</t>
  </si>
  <si>
    <t>16#-1</t>
  </si>
  <si>
    <t>16#-2</t>
  </si>
  <si>
    <t>S2</t>
  </si>
  <si>
    <t>1#大门</t>
  </si>
  <si>
    <t>2#大门</t>
  </si>
  <si>
    <t>总平</t>
  </si>
  <si>
    <t>地下室</t>
  </si>
  <si>
    <t>工程量（合计）
J</t>
  </si>
  <si>
    <t>主材费
(含损耗税前价)K</t>
  </si>
  <si>
    <t>人工
A</t>
  </si>
  <si>
    <t>机械及辅材
B</t>
  </si>
  <si>
    <t>管理费
C</t>
  </si>
  <si>
    <t>利润
D</t>
  </si>
  <si>
    <t>增值税税金E</t>
  </si>
  <si>
    <t>综合单价1
F</t>
  </si>
  <si>
    <t>综合单价2
G</t>
  </si>
  <si>
    <t>合价1
（不含税）
H=F*J</t>
  </si>
  <si>
    <t>合价2
（含税）
I=G*J</t>
  </si>
  <si>
    <t>计算基数A+B+K(乙供)</t>
  </si>
  <si>
    <t>计算基数A+B+C+K(乙供)</t>
  </si>
  <si>
    <t>计算基数A+B+C+D+K(乙供)</t>
  </si>
  <si>
    <t>A+B+C+D+K(乙供)</t>
  </si>
  <si>
    <t>A+B+C+D+E+K(乙供)</t>
  </si>
  <si>
    <t>不含税</t>
  </si>
  <si>
    <t>含税</t>
  </si>
  <si>
    <t>01智能设备专网系统</t>
  </si>
  <si>
    <t>(一)交换机网络设备</t>
  </si>
  <si>
    <t>8口千兆接入交换机</t>
  </si>
  <si>
    <t>二层网管交换机，交换容量192Gbps，包转发率15Mpps，8口10/100/1000Mbps自适应电口交换机，固化2个SFP千兆光口，支持VLAN、ACL、端口镜像、端口聚合等功能</t>
  </si>
  <si>
    <t>相当于或优于锐捷、华为、华三</t>
  </si>
  <si>
    <t>台</t>
  </si>
  <si>
    <t>24口千兆接入交换机</t>
  </si>
  <si>
    <t>二层网管交换机，交换容量336Gbps，包转发率108Mpps，24个10/100/1000Mbps自适应电口交换机，固化4个SFP+千兆光口，支持VLAN、ACL、端口镜像、端口聚合等功能</t>
  </si>
  <si>
    <t>24口千兆汇聚交换机</t>
  </si>
  <si>
    <t>32口千兆汇聚交换机</t>
  </si>
  <si>
    <t>二层网管交换机，交换容量598Gbps，包转发率216Mpps，32个10/100/1000Mbps自适应电口交换机，固化4个SFP+千兆光口，支持VLAN、ACL、端口镜像、端口聚合等功能</t>
  </si>
  <si>
    <t>48口千兆汇聚交换机</t>
  </si>
  <si>
    <t>二层网管交换机，交换容量672Gbps，包转发率363Mpps，48个10/100/1000Mbps自适应电口交换机，固化4个SFP+千兆光口，支持VLAN、ACL、端口镜像、端口聚合等功能</t>
  </si>
  <si>
    <t>48口千兆核心交换机</t>
  </si>
  <si>
    <t>共4个槽位，包含2个引擎槽位和2个业务槽位。 2块*（24个10/100/1000M自适应电口+24个SFP千兆通用接口+4个SFP+万兆接口线卡）+双引擎+双电源</t>
  </si>
  <si>
    <t>6U壁挂机柜</t>
  </si>
  <si>
    <t>标准6U防水机柜，配PDU</t>
  </si>
  <si>
    <t>套</t>
  </si>
  <si>
    <t>防火墙</t>
  </si>
  <si>
    <t>全新下一代千兆防火墙，1U高度，1*交流电源，固化10个千兆电口；1个console接口；1个USB口；自带 IPSec VPN、SSL VPN 等多种功能</t>
  </si>
  <si>
    <t>网管安全软件</t>
  </si>
  <si>
    <t>1、采用纯B/S架构，用户无需安装客户端，通过标准浏览器就能完成对系统的访问；
2、配置基础网管平台，配置≥100个节点管理授权；
3、具备丰富的设备管理功能 ，包含对设备和设备接口及其信息的增删改查具有良好的展示和基本操作功能；
4、具备以图形化向导的方式提供ACL ，QoS快速部署管理；
5、支持通过WEB浏览器实现网管系统自身服务的重启、关闭；监控服务器自身的CPU、内存、网卡状态；支持在网页上获取系统运行日志；提供软件界面的功能截图。</t>
  </si>
  <si>
    <t>路由器</t>
  </si>
  <si>
    <t>固化8个千兆电口，固化1个千兆光口，固化1个万兆光，2G内存，内置1T硬盘，1U尺寸</t>
  </si>
  <si>
    <t>(二)配线及其它</t>
  </si>
  <si>
    <t>千兆单模光模块</t>
  </si>
  <si>
    <t>光模块-SFP-GE-单模模块-(1310nm,10km,LC)</t>
  </si>
  <si>
    <t>对</t>
  </si>
  <si>
    <t>4口光纤终端盒</t>
  </si>
  <si>
    <t>含熔纤及满配LC尾纤、LC单模耦合器</t>
  </si>
  <si>
    <t>光纤收发器</t>
  </si>
  <si>
    <t>1个千兆RJ45,2个千兆单模光纤接口</t>
  </si>
  <si>
    <t>96口光纤配线架</t>
  </si>
  <si>
    <t>相当于或优于爱谱华顿、宇洪、粤道、普天天纪</t>
  </si>
  <si>
    <t>LC双芯跳线</t>
  </si>
  <si>
    <t>2米LC双芯单模跳线</t>
  </si>
  <si>
    <t>条</t>
  </si>
  <si>
    <t>六类非屏蔽水晶头</t>
  </si>
  <si>
    <t>100/包</t>
  </si>
  <si>
    <t>国产优质</t>
  </si>
  <si>
    <t>包</t>
  </si>
  <si>
    <t>(三)管线部分</t>
  </si>
  <si>
    <t>六类非屏蔽双绞线</t>
  </si>
  <si>
    <t>UTP6，国标，305一箱</t>
  </si>
  <si>
    <t>米</t>
  </si>
  <si>
    <t>4芯单模光缆</t>
  </si>
  <si>
    <t>GYXTW-04B1.3</t>
  </si>
  <si>
    <t>L</t>
  </si>
  <si>
    <t>工程总价（元）</t>
  </si>
  <si>
    <t>L=一+二+三</t>
  </si>
  <si>
    <t>项</t>
  </si>
  <si>
    <t>02视频安防监控系统</t>
  </si>
  <si>
    <t>(一)前端设备</t>
  </si>
  <si>
    <t>红外高清网络半球摄像机</t>
  </si>
  <si>
    <t>200万像素,可选2.8/4/6/8/10/12mm镜头,红外开启时0Lux,宽动态,红外距离20-30米,含护罩,支持DC12V</t>
  </si>
  <si>
    <t>相当于或优于海康威视、大华、宇视</t>
  </si>
  <si>
    <t>红外高清网络枪式摄像机</t>
  </si>
  <si>
    <t>红外高清网络枪式拾音摄像机</t>
  </si>
  <si>
    <t>200万像素,可选2.8/4/6/8/10/12mm镜头,红外开启时0Lux,宽动态,红外距离20-30米,含护罩，支持DC12V，带拾音功能</t>
  </si>
  <si>
    <t>红外高清网络球式拾音摄像机</t>
  </si>
  <si>
    <t>1、400万1/3"CMOS 智能变焦球型网络摄像机；
2、采用深度学习硬件及算法，提供精准的人车分类侦测，支持越界侦测，区域入侵侦测，进入区域侦测和离开区域侦测；
3、支持对运动人脸进行检测，跟踪，抓拍，评分，筛选，输出最优的人脸抓图；
4、最低照度: 彩色：0.005 Lux @（F1.2，AGC ON），0 Lux with IR；
5、补光灯类型: 智能补光，可切换白光灯、红外灯；
6、补光距离: 红外光：最远可达50 m；白光：最远可达30 m；
7、防补光过曝: 支持；8、红外波长范围: 850 nm；
9、最大图像尺寸: 2560 × 1440；
10、视频压缩标准: 主码流：H.265/H.264；
11、网络: 1个RJ45 10 M/100 M自适应以太网口；
12、音频: 1路输入（Line in）；1路输出（Line out）；1个内置麦克风，1个内置扬声器支持DC24V供电方式。</t>
  </si>
  <si>
    <t>枪机支架</t>
  </si>
  <si>
    <t>个</t>
  </si>
  <si>
    <t>球机支架</t>
  </si>
  <si>
    <t>电梯专用摄像机</t>
  </si>
  <si>
    <t>200万像素,2.8镜头,红外开启时0Lux,宽动态,红外距离10-20米,含护罩，支持DC12V</t>
  </si>
  <si>
    <t>摄像机集中供电电源</t>
  </si>
  <si>
    <t>12V10A</t>
  </si>
  <si>
    <t>摄像机电源</t>
  </si>
  <si>
    <t>24V</t>
  </si>
  <si>
    <t>无线网桥</t>
  </si>
  <si>
    <t>300Mbps无线传输速率5.8G网桥,工业设计</t>
  </si>
  <si>
    <t>室外立杆</t>
  </si>
  <si>
    <t>φ140-70，3.5米,含水泥地笼避雷针</t>
  </si>
  <si>
    <t>根</t>
  </si>
  <si>
    <t>摄像机电源装置</t>
  </si>
  <si>
    <t>配套</t>
  </si>
  <si>
    <t>二合一网络浪涌保护器</t>
  </si>
  <si>
    <t>产品采用两级串联式联动式保护，最大放电电流(8/20 μs)可达10kA,传输特性达100Mbps,插入损耗低,标称放电电流In(8/20μs 5kA,最大放电电流Imax(8/20μs 10kA。</t>
  </si>
  <si>
    <t>相当于或优于地凯、施耐德、菲尼克斯</t>
  </si>
  <si>
    <t>50x50x5热镀锌角钢</t>
  </si>
  <si>
    <t>50x50x5</t>
  </si>
  <si>
    <t>50x5热镀锌扁钢</t>
  </si>
  <si>
    <t>50x5</t>
  </si>
  <si>
    <t>(二)中心设备</t>
  </si>
  <si>
    <t>室外防水箱</t>
  </si>
  <si>
    <t>尺寸定制,静电喷塑</t>
  </si>
  <si>
    <t>定制</t>
  </si>
  <si>
    <t>磁盘阵列</t>
  </si>
  <si>
    <t>机架式/8U 48盘位；1024Mbps接入带宽/48块6T企业级SATA硬盘；64位多核处理器/4GB缓存（可扩展至64GB））/2个千兆数据网口/1个千兆管理网口/冗余电源/网络协议：RTSP/ONVIF/PSIA/（GB/T28181）；网络中断后重新恢复，设备可续存断网期间存储在前端设备中的录像文件，并可通过IE浏览器设置自动回传和手动回传。支持256路4M的录像回传。</t>
  </si>
  <si>
    <t>安防综合管理软件</t>
  </si>
  <si>
    <t>涵盖监控、门禁、访客对讲、巡查子系统、带视频智能分析功能支持视频编解码器SDK语言开发包 ，满足系统集成要求</t>
  </si>
  <si>
    <t>管理电脑</t>
  </si>
  <si>
    <t>CPU：i7；内存容量≥8GB；硬盘容量≥1TB；液晶显示器≥21英寸；DVD光驱,独立显卡，千兆网卡。</t>
  </si>
  <si>
    <t>相当于或优于联想、戴尔、华硕</t>
  </si>
  <si>
    <t>分控管理电脑</t>
  </si>
  <si>
    <t>高清解码器</t>
  </si>
  <si>
    <t>支持12路1200W，或24路800W，或36路500W，或60路300W，或96路1080P及以下分辨率同时实时解码,可拼接，支持1、2、4、6、8、9、10、12、16、25、36画面分割显示，支持12路HDMI和6路BNC输出。</t>
  </si>
  <si>
    <t>网络控制键盘</t>
  </si>
  <si>
    <t>四维摇杆,7寸彩屏</t>
  </si>
  <si>
    <t>46寸窄边液晶拼接单元</t>
  </si>
  <si>
    <t>双边拼接缝0.88mm，分辨率1920*1080,支持DVI/HDMI输入</t>
  </si>
  <si>
    <t>电视墙机柜</t>
  </si>
  <si>
    <t>9个46寸机位，200mm深度</t>
  </si>
  <si>
    <t>HDMI线缆</t>
  </si>
  <si>
    <t>显示屏配套</t>
  </si>
  <si>
    <t>6位总控插座</t>
  </si>
  <si>
    <t>250V/10A</t>
  </si>
  <si>
    <t>平台式控制台</t>
  </si>
  <si>
    <t>4位，深度0.9米，长度2.4米</t>
  </si>
  <si>
    <t>系统集成协议开放要求</t>
  </si>
  <si>
    <t xml:space="preserve">采用标准通信协议，开放系统应用接口，具备与其它智能化子系统集成及数据共享的功能，满足远程数据采集及控制等需求，支持SDK接口或API接口。 </t>
  </si>
  <si>
    <t>监控通讯线</t>
  </si>
  <si>
    <t>UTP6</t>
  </si>
  <si>
    <t>铜芯护套导线
ZR-RVV-2*1.0mm²</t>
  </si>
  <si>
    <t>ZR-RVV-2*1.0mm²</t>
  </si>
  <si>
    <t>室内4芯单模光纤</t>
  </si>
  <si>
    <t>铜芯护套导线
WDZ-YJY-3*2.5mm²</t>
  </si>
  <si>
    <t>WDZ-YJY-3*2.5mm²</t>
  </si>
  <si>
    <t>PE管</t>
  </si>
  <si>
    <t>φ20</t>
  </si>
  <si>
    <t>相当于或优于联塑、雄塑、伟星管业</t>
  </si>
  <si>
    <t>塑料穿线管（PVC）</t>
  </si>
  <si>
    <t>PVC20</t>
  </si>
  <si>
    <t>相当于或优于汉鑫、友发、金洲</t>
  </si>
  <si>
    <t>03访客对讲系统</t>
  </si>
  <si>
    <t>(一)对讲设备</t>
  </si>
  <si>
    <t>数字单元门口机</t>
  </si>
  <si>
    <t>含可视对讲、密码、人脸识别、二维码、ID/IC读卡门禁、蓝牙模块,10寸彩屏,TCP/IP协议</t>
  </si>
  <si>
    <t>相当于或优于海康、麦驰、狄耐克、慧锐通</t>
  </si>
  <si>
    <t>室内数字对讲分机</t>
  </si>
  <si>
    <t>7寸彩屏,1024*600，7防区+1门铃,采用TCP/IP协议,含通讯录、来电提示、访客视频录制、天气显示、多种和弦铃声、音量设置、免打扰等功能；含电梯联动接口，可扩展电梯联动控制；含家居安防模块接口，可扩展智能家居。</t>
  </si>
  <si>
    <t>围墙机</t>
  </si>
  <si>
    <t>10寸彩屏；标准RJ-45接口；摄像头130万像素；呼叫住户及管理中心并对讲；通话过程中能接受分机及管理机的远程开锁；可密码开锁、门禁卡开锁；可动态人脸识别开锁，可脱机独立工作；可扩展云对讲，实现远程对讲、监视等功能；可扩展蓝牙开锁、二维码开锁；室外防水</t>
  </si>
  <si>
    <t>主机电源</t>
  </si>
  <si>
    <t>具有过压、低压、过流、过热及短路保护。主要给单元门口主机、围墙机输入电压：AC/150V～250V; 输出电压：DC/18V±10%;功率：80W;输出电流：4.5A;保险丝(FUSE)：5A;外观尺寸：218*146*58mm;基本功能 :支持刷卡授权管理中心机 和密码授权管理中心机。</t>
  </si>
  <si>
    <t>室内数字对讲分机电源</t>
  </si>
  <si>
    <t>12V10A室内分机专用电源</t>
  </si>
  <si>
    <t>(二)门锁配件</t>
  </si>
  <si>
    <t>电动地弹簧</t>
  </si>
  <si>
    <t>电动地弹簧控制器</t>
  </si>
  <si>
    <t>红外传感器</t>
  </si>
  <si>
    <t>出门按钮</t>
  </si>
  <si>
    <t>阻燃外壳</t>
  </si>
  <si>
    <t>相当于或优于海康、狄耐克、高优、意林</t>
  </si>
  <si>
    <t>门磁（磁力锁）</t>
  </si>
  <si>
    <t>与电动地弹簧配套</t>
  </si>
  <si>
    <t>电动平开门机</t>
  </si>
  <si>
    <t>电动平开门机，含电动闭门器延伸支架及配套螺钉，需根据现场实际要求定制</t>
  </si>
  <si>
    <t>IC卡</t>
  </si>
  <si>
    <t>普通带印刷</t>
  </si>
  <si>
    <t>(三)消控中心设备</t>
  </si>
  <si>
    <t>数字管理机</t>
  </si>
  <si>
    <t>留言/报警功能,10寸彩屏,TCP/IP协议</t>
  </si>
  <si>
    <t>控制电脑</t>
  </si>
  <si>
    <t>人脸识别采集器</t>
  </si>
  <si>
    <t>数据读取：人脸数据采集，便捷接口：USB接口，通讯和供电接口，其它性能：内置麦克风，传感器：CMOS传感器，动态像素：500万，静态分辨率：1280×720</t>
  </si>
  <si>
    <t>发卡器</t>
  </si>
  <si>
    <t>门禁卡注册</t>
  </si>
  <si>
    <t>(四)物业管理办公室设备</t>
  </si>
  <si>
    <t>管理软件</t>
  </si>
  <si>
    <t>具备信息发布、报警功能、电子地图、门禁卡注册、权限管理、云对讲、人脸识别、二维码等功能</t>
  </si>
  <si>
    <t xml:space="preserve">采用标准通信协议，开放系统应用接口，具备与其它智能化子系统集成及数据共享的功能，满足远程数据采集及控制等需求，支持WEBAPI接口 或 SDK接口 或 ODBC接口。 </t>
  </si>
  <si>
    <t>(五)管线部分</t>
  </si>
  <si>
    <t xml:space="preserve">铜芯护套软线 </t>
  </si>
  <si>
    <t>ZR-RVV-2x1.0mm2</t>
  </si>
  <si>
    <t>ZR-RVV-3x2.5mm2</t>
  </si>
  <si>
    <t>ZR-RVVP-2x1.0mm2</t>
  </si>
  <si>
    <t>消防信号线 ZR-RVS-2*1.0mm²</t>
  </si>
  <si>
    <t>ZR-RVS-2*1.0mm²</t>
  </si>
  <si>
    <t>L=一+二+三+四+五</t>
  </si>
  <si>
    <t>04电梯五方通话系统</t>
  </si>
  <si>
    <t>(一)管线部分</t>
  </si>
  <si>
    <t>电梯对讲控制线</t>
  </si>
  <si>
    <t>ZR-RVVP-4x1.0</t>
  </si>
  <si>
    <t>PVC阻燃硬质塑料管</t>
  </si>
  <si>
    <t>L=一</t>
  </si>
  <si>
    <t>05电子巡更系统</t>
  </si>
  <si>
    <t>(一)巡更设备</t>
  </si>
  <si>
    <t>巡更点</t>
  </si>
  <si>
    <t>防水防震.坚固耐用
并内置不可修改唯一的ID 码
材料: 不锈钢
操作温度:-40-+85℃
控制器
RS232 串口通讯，具备快速传输和转换数据的功能.
材料:合金
电源: 6v 50hz
操作温度:-40-+90℃</t>
  </si>
  <si>
    <t>相当于或优于蓝卡、兰德华</t>
  </si>
  <si>
    <t>巡更棒</t>
  </si>
  <si>
    <t>记录存储容量：≥30000条记录；要求电池寿命可连续使用不小于二年；读卡距离：2～5cm；通讯格式：无线通讯；要求巡更棒坚固抗摔，具备防水功能，可在水中使用。</t>
  </si>
  <si>
    <t>终端软件</t>
  </si>
  <si>
    <t>接口协议</t>
  </si>
  <si>
    <t xml:space="preserve">支持WEBAPI接口 或 OPC 或 SDK接口 </t>
  </si>
  <si>
    <t>06公共广播系统</t>
  </si>
  <si>
    <t>(一)公共广播设备</t>
  </si>
  <si>
    <t>草坪音响</t>
  </si>
  <si>
    <t>室外防水，最大20W，灵敏度：95dB</t>
  </si>
  <si>
    <t>相当于或优于ITC、迪士普、SPDPA</t>
  </si>
  <si>
    <t>网络化广播主机</t>
  </si>
  <si>
    <t>1、主机采用工控≥6U机箱设计，主机为插卡式，后面板自带12个功能板插卡口，所有功能都可以通过固定卡槽来安装，避免了主机整机瘫痪的风险，同时，维护方便，哪个故障换哪个卡，特别是涉及考试的学校必备功能；
2、采用全模块化设计：至少含≥4路音频采集模块、监听模块（连接无源定阻音箱直接进行监听功能）、硬盘卡模块（硬盘大小可根据实际情况进行机动升级）、电源主/备扩展模块、双网口交换机数据交换卡模块；
3、≥17寸触摸高清液晶电容触摸显示屏，以局域网/互联网为主要传输媒介，全数字传输；可设置1000个分区；
4、≥2路网络冗余备份端口，具有网络线路故障检测与自动选择功能，支持100M/10M自适应TCP/IP传输网络；
5、主机设备提供≥4路电源输出，并可对每路电源进行管理（为了保证系统的稳定性和安全性此项功能非外部扩展，要求设备必需自带该功能）。</t>
  </si>
  <si>
    <t>CD播放器</t>
  </si>
  <si>
    <t>1、CD/MP3/MP4/VCD/DVD播放功能；
2、高亮度动态VFD显示，清晰醒目；
3、具有曲目直选功能；
4、具有通电后自动播放功能；</t>
  </si>
  <si>
    <t>数字协调器</t>
  </si>
  <si>
    <t>1、微电脑控制，数字调谐系统；
2、收音头以模块形式设计，可与主机分离，放置在接收信号更好的位置；
3、全轻触按键控制，VFD显示；
4、AM/FM各40个电台存储功能。</t>
  </si>
  <si>
    <t>广播寻呼话筒</t>
  </si>
  <si>
    <t>1、操作便捷，适应不同；
2、支持终端即插即用；
3、具有延时自动关闭功能；
4、可弯曲式话筒；
5、话筒输出电压：600mV±10mV或20mV±10%（非平衡）。</t>
  </si>
  <si>
    <t>只</t>
  </si>
  <si>
    <t>网络化智能寻呼站</t>
  </si>
  <si>
    <t>1、支持100/10Mbps自适应TCP/IP网络传输协议；
2、采用7寸真彩触摸彩屏、铝合金高档拉丝工业面板设计；
3、桌面式结构设计。可控制1000个分区，具有分区一键全开功能，紧急报警功能；
4、可对网络播放终端选定寻呼、对讲功能；
5、具有用户密码与权限管理。</t>
  </si>
  <si>
    <t>网络化监听音箱</t>
  </si>
  <si>
    <t>双网络接口冗余设计，支持100/10Mbps自适应TCP/IP网络传输协议，可跨网段工作，网络化终端处理器结合高保真扬声器整体化设计的网络化音箱</t>
  </si>
  <si>
    <t>三十二路消防联动网络模块</t>
  </si>
  <si>
    <t>1、本模块为网络化公共广播系统与消防中心之间的接口；
2、当接收到由消防中心发来之警报信号时，会自动激活网络化公共广播系统相应工作区进入强行插入紧急广播状态；
3、每台机有32个消防触发通道，通过主机设置，每个通道的告警分区可任意组合；
4、每个告警通道均含寻路故障检测功能，自动排查系统线路故障；
5、同一系统可以有多台机连接于网络，可任意扩展控制区域。</t>
  </si>
  <si>
    <t>块</t>
  </si>
  <si>
    <t>电源时序器</t>
  </si>
  <si>
    <t>1、公共广播系统电源管理设备之首选；
2、按顺序开启/关闭；
3、多达十六路受控设备电源；
4、通过定时器作自动/人工控制；
5、插座总容量达3.5KVA。</t>
  </si>
  <si>
    <t>一路音频输出终端</t>
  </si>
  <si>
    <t>1、一路音频输出网络化终端设备；
2、双网络接口冗余设计，能够手拉手级链，可跨网段工作；
3、支持最大48kHz采样率16bit数字音频码流解码；
4、直流24V/100MA输出和短路输出，两种输出方式是同时控制的；
5、可播放来自系统主机的背景音乐、紧急寻呼、告警信号等；
6、具有1路强插输入功能，实现拓展节目源功能，输入电平大小可调；
7、内置4路网络硬件音频解码模块，可同时输出4路音频信号，可连接功放拓展功率，有信号输出时指示灯。</t>
  </si>
  <si>
    <t>带前置放大器功放（500W）</t>
  </si>
  <si>
    <t>2路话筒输入，3路AUX输入；1路AUX输出；100V、70V定压输出和4欧-16欧定阻输出5单元LED电平表带6分区输出，每个分区音量单独可调并带输出电平指示内置钟声发生器，具有默音功能，便于插入优先广播各输入通道独立音量控制；高、低音调控制输出短路、过流、过载保护告警</t>
  </si>
  <si>
    <t>主备功放切换器</t>
  </si>
  <si>
    <t>1.能自动发现声频功放故障并在“主功放”和“备用功放”之间实现自动切换；
2.具有4个完全相同的独立的通道，每个通道均能完成主/备功放之自动检测与自动切换；
3.兼有手动主/备切换之功能；
4.一目了然的工作状态指示；
5.可控通道组数4组；
6.工作组态(4主4备)或(4主1备)；
7.通道工作容量100V/10A（音频信号）；
8.功放增益要求&gt;20dB9.输入检测电压阀值&lt;500mV10.30k检测信号输出电压20mV-50mV11.故障切换时间200ms12.通道检测时间40m</t>
  </si>
  <si>
    <t>避雷器</t>
  </si>
  <si>
    <t>1、本机用于广播系统的雷电保护、过压保护及漏电保护；
2、4通道输入输出通断控制；
3、一目了然的正常运行指示和故障保护指示。</t>
  </si>
  <si>
    <t>(二)管线部分</t>
  </si>
  <si>
    <t>广播音箱线</t>
  </si>
  <si>
    <t>ZR-RVV2*2.5mm²</t>
  </si>
  <si>
    <t>管径20</t>
  </si>
  <si>
    <t>相当于或优于联塑、雄塑</t>
  </si>
  <si>
    <t>PVC阻燃硬塑料管 PC20</t>
  </si>
  <si>
    <t>音频线RVEP2*0.5</t>
  </si>
  <si>
    <t>RVEP2*0.5</t>
  </si>
  <si>
    <t>UTP6 国标，305米/箱</t>
  </si>
  <si>
    <t>L=一+二</t>
  </si>
  <si>
    <t>07出入口控制系统</t>
  </si>
  <si>
    <t>(一)摆闸设备</t>
  </si>
  <si>
    <t>单机芯摆闸</t>
  </si>
  <si>
    <t>1.尺寸:1400x185x1020mm;
2.解锁时间: 0.2s ;
3.通行速度: ≤35人/分；
4.通道宽:≤1100mm;
5.电压输入: 220V,50HZ;
6.马达电压: 24v;
7.环境温度: -25~+70;
8.功率:35W; 
9.开闸信号输入: 干接点。</t>
  </si>
  <si>
    <t>相当于或优于捷顺、富士智能、科拓、海康</t>
  </si>
  <si>
    <t>双机芯摆闸</t>
  </si>
  <si>
    <t>1.尺寸:1400x185x1020mm;
2.解锁时间: 0.2s ;
3.通行速度: ≤35人/分；
4.通道宽:≤900mm;
5.电压输入: 220V,50HZ;
6.马达电压: 24v; 
7.环境温度: -25~+70;
8.功率:35W; 
9.开闸信号输入: 干接点。</t>
  </si>
  <si>
    <t>8寸触屏人脸识别机</t>
  </si>
  <si>
    <t>壁挂安装、闸机安装。工作温湿度-20℃至55℃,&lt;90℃RH。防护等级：IP54，机身尺寸：238*128*21mm（机身高*宽*厚)439*128*21mm（机身高*宽*厚)。材质:铝合金。系统：嵌入式Linux ，CPU：高性能ARM架构32位4核心。存储:内存512M，数据存储8GB 显示屏8英寸高清IPS液晶屏，分辨率：800*1280。摄像头：识别距离:0.5-1.5m分辨率200W像素，光圈：F2.4，焦距6mm，宽动态：识别时间：小于300ms人脸库容量1：N，N&lt;=20000，支持扩容，准确率：99.70%，电源接口：1 x DC12V，DC005母头2.1*5.5USB接口：1 x USB2.0，继电器输出：1 x 开关量输出，2PIN 3.8间距端，RJ45网线接口：1 x RJ45网口，韦根输出接口：1 x WG输出，门磁信号：1 x 门磁检测消防联动：1 x 消防联动支持IC卡、人脸识别、NFC、二维码识别、蓝牙、测温功能。</t>
  </si>
  <si>
    <t>(二)门禁设备</t>
  </si>
  <si>
    <t>读卡器</t>
  </si>
  <si>
    <t>支持刷卡、手机APP开门功能</t>
  </si>
  <si>
    <t>铝合金面板，金属按钮，86底盒</t>
  </si>
  <si>
    <t>单门电锁</t>
  </si>
  <si>
    <t>280KG,断电开磁力锁,带信号反馈</t>
  </si>
  <si>
    <t>双门电锁</t>
  </si>
  <si>
    <t>L型和Z型支架</t>
  </si>
  <si>
    <t>适用于磁边锁的壁挂安装</t>
  </si>
  <si>
    <t>单门网络控制器</t>
  </si>
  <si>
    <t>控制门数，单门；通讯方式： TCP/IP；读卡器输入格式：Wiegand 26/34,含扩展功能</t>
  </si>
  <si>
    <t>双门网络控制器</t>
  </si>
  <si>
    <t>控制门数，双门；通讯方式： TCP/IP；读卡器输入格式：Wiegand 26/34,含扩展功能</t>
  </si>
  <si>
    <t>四门网络控制器</t>
  </si>
  <si>
    <t>控制门数，四门；通讯方式： TCP/IP；读卡器输入格式：Wiegand 26/34,含扩展功能</t>
  </si>
  <si>
    <t>(三)管理中心设备</t>
  </si>
  <si>
    <t>消防联动监视控制模组</t>
  </si>
  <si>
    <t>机箱</t>
  </si>
  <si>
    <t>铁箱、静电喷涂</t>
  </si>
  <si>
    <t>电源装置</t>
  </si>
  <si>
    <t>双电源端口</t>
  </si>
  <si>
    <t>工作频率13.56MHZ/读写距离&gt;3CM</t>
  </si>
  <si>
    <t>人脸录入仪</t>
  </si>
  <si>
    <t>数据读取:人脸数据采集，便捷接口:USB接口，通讯和供电接口，其它性能:内置麦克风，传感器:CMOS传感器，动态像素:500万，静态分辨。</t>
  </si>
  <si>
    <t>支持WEBAPI接口 或 OPC 或 SDK接口。</t>
  </si>
  <si>
    <t>系统管理软件</t>
  </si>
  <si>
    <t xml:space="preserve">门禁配套管理软件，支持WEBAPI接口 或 OPC 或 SDK接口，满足系统集成要求。 </t>
  </si>
  <si>
    <t xml:space="preserve">采用标准通信协议，开放系统应用接口，具备与其它智能化子系统集成及数据共享的功能，满足远程数据采集及控制等需求，支持WEBAPI接口 或 OPC接口 或 SDK接口。 </t>
  </si>
  <si>
    <t>(四)管线部分</t>
  </si>
  <si>
    <t>通讯线</t>
  </si>
  <si>
    <t>阻燃铜芯护套导线 ZR-RVV-2x1.0mm²</t>
  </si>
  <si>
    <t>ZR-RVV-2x1.0mm²</t>
  </si>
  <si>
    <t>阻燃铜芯护套导线 WDZ-YJY-3x2.5mm²</t>
  </si>
  <si>
    <t>WDZ-YJY-3x2.5mm²</t>
  </si>
  <si>
    <t>L=一+二+三+四</t>
  </si>
  <si>
    <t>08停车场管理系统</t>
  </si>
  <si>
    <t>(一)机动车出入口设备</t>
  </si>
  <si>
    <t>一体化高清车牌自动识别主机</t>
  </si>
  <si>
    <t>带机箱，可脱机工作，脱机存储图片记录大于10000条。支持TCP/IP协议、ONVIF协议。支持WDR、强光抑制、低照度等参数调节；支持控制道闸开启和控制摄像主机及辅机上的摄像机进行车牌抓拍及补拍功能；同时兼容线圈触发和视频触发；固定月卡车辆可脱机脱网进出场；系统支持一户多车限制首车进出功能；支持车牌自动识别、车牌号码混用功能。视频流：H.264+JPEG。总功率：小于30W工作温度：-35℃至70℃；图片分辨率：1280*960防护等级IP54；外形尺寸：190×209.4×1340mm（长×宽×高）；最低照度0.1Lux工作湿度：10%-90%，寿命＞40000小时，接入电压220V,内嵌视频流车牌识别，全天候识别率大于99%,集成识别单元及补光灯于一体.高可靠无风扇设计、宽温 度范围正常启动和长期运行.不小于200万级像素(7）、可识别的车牌类型：符合“GA36-1992”“GA36.1-2001”“GA36-2007”标准的民用车牌照和警车、武警、双层黄牌、教练车、军车、个性化、粤港粤澳、使领馆、新能源车牌</t>
  </si>
  <si>
    <t>直杆道阐</t>
  </si>
  <si>
    <t>PK-RB3600/S-GN输入接口：1×开闸、1×落闸、1×停止、1×地感线圈、2×红绿灯；最大杆长：6m；起落时间：1.8s。</t>
  </si>
  <si>
    <t>栅栏式道闸</t>
  </si>
  <si>
    <t>数字式车辆检测器</t>
  </si>
  <si>
    <t>工作电压：AC220V±10%；工作温度：-40℃-80℃；频率范围：20KHZ～170KHZ；灵敏度：3级可调；反应时间：≤10ms12。</t>
  </si>
  <si>
    <t>无人值守通道机（入口）</t>
  </si>
  <si>
    <t>PK-HW10玻璃广告窗粘贴式固定二维码，可无牌车扫码绑定进场；带一键主被动呼叫视频对讲功能；带语音播报功能；工作电压：AC220V±10%工作温度：-20℃- 60℃；功耗：20W（MAX）；通讯方式：TCP外壳防护等级：IP55；机箱工艺：钣金喷涂尺寸规格：350*220*1350mm（长*宽*高）。</t>
  </si>
  <si>
    <t>无人值守通道机（出口）</t>
  </si>
  <si>
    <t>PK-HW10Q玻璃广告窗粘贴式固定二维码，可无牌车扫码缴费出场，带二维码扫码器，扫车主付款码缴费出场；带一键主被动呼叫视频对讲功能；带语音播报功能；工作电压：AC220V±10%；工作温度：-20℃- 60℃；功耗：20W（MAX）；通讯方式：TCP；外壳防护等级：IP55机箱工艺：钣金喷涂；尺寸规格：350*220*1350mm（长*宽*高）；扫码距离：20cm至40cm；支持扫微信和支付宝付款码</t>
  </si>
  <si>
    <t>红外防砸装置</t>
  </si>
  <si>
    <t>电源电压;12v-18v DC；电流：90MA；报警周期：2s 50ms(选择）；报警输出：继电器接点输出1C，接点容量DC30V 0.5Amax；防护等级：1p65；矫正角度：水平180°，垂直90°；防拆开光：常闭，当外壳被移去时打开</t>
  </si>
  <si>
    <t>红外防砸套装支架</t>
  </si>
  <si>
    <t>不锈钢材质，高度500mm</t>
  </si>
  <si>
    <t>红外防砸套装电源</t>
  </si>
  <si>
    <t>直流稳压电源：DC12V2A</t>
  </si>
  <si>
    <t>消防模块</t>
  </si>
  <si>
    <t>1、电源：DC12V；2、输出信号：常开、常闭信号</t>
  </si>
  <si>
    <t>配电/控制箱</t>
  </si>
  <si>
    <t>定制,1个总开关32A,9个回路开关20A带漏电保护，零地接线排，可放交换机等网络设备。</t>
  </si>
  <si>
    <t>二合一防雷器</t>
  </si>
  <si>
    <t>网络浪涌保护；最大放电电流10kA(8/20μs)；反应速度：10-12秒级；2合1设计；电源电涌保护失效LED指示。</t>
  </si>
  <si>
    <t>8口千兆交换机</t>
  </si>
  <si>
    <t>二层网管交换机，交换容量192Gbps，包转发率15Mpps，8口10/100/1000Mbps自适应电口交换机，固化2个SFP千兆光口，支持VLAN、ACL、端口镜像、端口聚合等功能。</t>
  </si>
  <si>
    <t>光收发器</t>
  </si>
  <si>
    <t>千兆</t>
  </si>
  <si>
    <t>(二)非机动车出入口设备</t>
  </si>
  <si>
    <t>数字道闸（栅栏式）</t>
  </si>
  <si>
    <t>工作电压：AC220V；工作温度：-25℃-65℃；功耗：90W；栏杆类型：单层栅栏式；杆长：最大5米；起落杆时间：6s</t>
  </si>
  <si>
    <t>工作电压：AC220V±10%；工作温度：-40℃-80℃；频率范围：20KHZ～170KHZ；灵敏度：3级可调；反应时间：≤10ms</t>
  </si>
  <si>
    <t>电源电压;12v-18v DC；电流：90MA；报警周期：2s 50ms(选择）；报警输出：继电器接点输出1C，接点容量DC30V 0.5Amax；防护等级：1p65；矫正角度：水平180°，垂直90°；防拆开光：常闭，当外壳被移去时打开。</t>
  </si>
  <si>
    <t>非机动车刷卡机</t>
  </si>
  <si>
    <t>PK-3507WIC卡写卡模式，脱机发卡，联网可获取进出数据，月卡脱机进出，可设时间限制，不支持临时卡计费</t>
  </si>
  <si>
    <t>出入口控制机</t>
  </si>
  <si>
    <t>PK-2110/PC18</t>
  </si>
  <si>
    <t>安全岛</t>
  </si>
  <si>
    <t>规格尺寸详布置图，机动车及非机动车</t>
  </si>
  <si>
    <t>自施工</t>
  </si>
  <si>
    <t>座</t>
  </si>
  <si>
    <t>减速带</t>
  </si>
  <si>
    <t>铸铁材质</t>
  </si>
  <si>
    <t>定制,1个总开关20A,9个回路开关16A带漏电保护，零地接线排，可放交换机等网络设备。</t>
  </si>
  <si>
    <t>停车场管理软件</t>
  </si>
  <si>
    <t>停车管理子系统，含图像对比系统软件,车牌自动识别功能,脱机运行功能,多车位管理功能,支持多种收费标准模式,支持多种收费渠道方式：门岗现金缴费、付款码扫码收费、微信、支付宝扫码支付、中央收费、自助机缴费等。</t>
  </si>
  <si>
    <t>车牌识别校验软件加密狗</t>
  </si>
  <si>
    <t>1、微处理器: 内置单片机，并提供 200 字节掉电保持存储器，一次性写入程序，固化的单片机不可读出或改写；
2、安全算法: 开发商可以自选安全算法，并可以自定义安全算法因子；
3、口令: 由软件开发商设置口令，口令错误将不能对数据区进行读写；
4、唯一的流水号,AS技术。</t>
  </si>
  <si>
    <t>管理终端话机</t>
  </si>
  <si>
    <t>工作电压：DC5V/1A；额定功率：＜5W；网口接口：2个10/100M以太网网口；操作环境湿度：10-95%；操作系统：Android9.0；主频：1.4GHz；显示屏：7英寸彩色触摸屏，分辨率1024*600；外观尺寸：268*185*189mm；重量：＜1.66kg。</t>
  </si>
  <si>
    <t>(四)线材及其它</t>
  </si>
  <si>
    <t>室外4芯单模光纤</t>
  </si>
  <si>
    <t>国标,305米/箱</t>
  </si>
  <si>
    <t>阻燃铜芯电力电缆
WDZ-YJY3x2.5</t>
  </si>
  <si>
    <t>WDZ-YJY3x2.5</t>
  </si>
  <si>
    <t>阻燃铜芯电力电缆
WDZ-YJY-3x6</t>
  </si>
  <si>
    <t>WDZ-YJY-3x6</t>
  </si>
  <si>
    <t>控制信号线
ZR-RVVP6x1.0mm2</t>
  </si>
  <si>
    <t>ZR-RVVP6x1.0mm2</t>
  </si>
  <si>
    <t>地感线圈 BV1.5mm2</t>
  </si>
  <si>
    <t>BV1.5mm2</t>
  </si>
  <si>
    <t>镀锌钢管 SC20</t>
  </si>
  <si>
    <t>SC20</t>
  </si>
  <si>
    <t>相当于或优于金洲、友发</t>
  </si>
  <si>
    <t>镀锌钢管 SC32</t>
  </si>
  <si>
    <t>SC32</t>
  </si>
  <si>
    <t>PVC阻燃硬塑料管 PC32</t>
  </si>
  <si>
    <t>管径32</t>
  </si>
  <si>
    <t>PVC阻燃硬塑料管 PC25</t>
  </si>
  <si>
    <t>管径25</t>
  </si>
  <si>
    <t>09入侵报警系统</t>
  </si>
  <si>
    <t>(一)前端报警设备</t>
  </si>
  <si>
    <t>被动红外/微波双鉴探测器</t>
  </si>
  <si>
    <t>吸顶式三技术(微波/红外/人工智能),探测范围：安装高度为3米时，范围为360°全方位，直径为15米</t>
  </si>
  <si>
    <t>相当于或优于海康威视、艾礼安、豪恩</t>
  </si>
  <si>
    <t>万向安装支架</t>
  </si>
  <si>
    <t>86盒，调节松紧度，水平方向180度旋转</t>
  </si>
  <si>
    <t>2防区输入模块</t>
  </si>
  <si>
    <t>2端口总线输入模块</t>
  </si>
  <si>
    <t>配套电源</t>
  </si>
  <si>
    <t>总线驱动器</t>
  </si>
  <si>
    <t>双回路</t>
  </si>
  <si>
    <t>网络通信模块</t>
  </si>
  <si>
    <t>RJ45,TCP/IP协议</t>
  </si>
  <si>
    <t>紧急报警按钮</t>
  </si>
  <si>
    <t>86型，不锈钢外壳</t>
  </si>
  <si>
    <t>声光报警器</t>
  </si>
  <si>
    <t>106dB，LED频闪灯</t>
  </si>
  <si>
    <t>(二)管理中心设备</t>
  </si>
  <si>
    <t>报警控制主机</t>
  </si>
  <si>
    <t>8路报警接口，通信RJ45接口，带操作键盘</t>
  </si>
  <si>
    <t>报警控制键盘</t>
  </si>
  <si>
    <t>布防撤防控制，紧急报警，防拆报警功能</t>
  </si>
  <si>
    <t>报警管理软件，有向上一级接处警中心报警的通信接口</t>
  </si>
  <si>
    <t>采用标准通信协议，开放系统应用接口，具备与其它智能化子系统集成及数据共享的功能，满足远程数据采集及控制等需求，支持SDK接口 或 RS232接口。</t>
  </si>
  <si>
    <t>(三)线材</t>
  </si>
  <si>
    <t>铜芯护套导线
ZR-RVV-6x0.75mm2</t>
  </si>
  <si>
    <t>ZR-RVV-6x0.75mm2</t>
  </si>
  <si>
    <t>铜芯护套导线
ZR-RVV-6x1.0mm2</t>
  </si>
  <si>
    <t>ZR-RVV-6x1.0mm2</t>
  </si>
  <si>
    <t>阻燃铜芯护套电缆
WDZ-YJY-3x2.5mm2</t>
  </si>
  <si>
    <t>WDZ-YJY-3x4.0mm2</t>
  </si>
  <si>
    <t>10建筑物电子信息系统防雷</t>
  </si>
  <si>
    <t>(一)线材</t>
  </si>
  <si>
    <t>接地铜芯线 
ZR-BVR-25mm2</t>
  </si>
  <si>
    <t>ZR-BVR-25mm2</t>
  </si>
  <si>
    <t>包含在总包施工内</t>
  </si>
  <si>
    <t>接地铜芯线 
ZR-BVR-50mm2</t>
  </si>
  <si>
    <t>ZR-BVR-50mm2</t>
  </si>
  <si>
    <t>￠32国标</t>
  </si>
  <si>
    <t>11光纤入户系统</t>
  </si>
  <si>
    <t>(一)入户线缆</t>
  </si>
  <si>
    <t>2芯皮线光纤</t>
  </si>
  <si>
    <t>双芯 金属加强件、低烟无卤阻燃护套</t>
  </si>
  <si>
    <t>熔纤</t>
  </si>
  <si>
    <t>点</t>
  </si>
  <si>
    <t>尾纤</t>
  </si>
  <si>
    <t>单模单芯LC 1.5M尾纤</t>
  </si>
  <si>
    <t>(二)竖井内设备</t>
  </si>
  <si>
    <t>光缆交接箱</t>
  </si>
  <si>
    <t>满足288芯光纤和3家运营商接入需求</t>
  </si>
  <si>
    <t>满足576芯光纤和3家运营商接入需求</t>
  </si>
  <si>
    <t>72芯分纤箱</t>
  </si>
  <si>
    <t>含72芯分纤熔接及藕合器跳线配件</t>
  </si>
  <si>
    <t>48芯分纤箱</t>
  </si>
  <si>
    <t>含48芯分纤熔接及藕合器跳线配件</t>
  </si>
  <si>
    <t>24芯分纤箱</t>
  </si>
  <si>
    <t>(三)弱电管、线</t>
  </si>
  <si>
    <t>72芯单模光纤</t>
  </si>
  <si>
    <t>多芯G.652D单模光纤</t>
  </si>
  <si>
    <t>48芯单模光纤</t>
  </si>
  <si>
    <t>24芯单模光纤</t>
  </si>
  <si>
    <t>12智慧信息服务系统</t>
  </si>
  <si>
    <t>(一)管理中心</t>
  </si>
  <si>
    <t>系统工作站</t>
  </si>
  <si>
    <t>CPU:i7-10700以上；
内存：16G DDR4 2400MHZ以上；
硬盘：2T以上；
显卡：2G独显以上；
显示屏：24寸以上宽屏</t>
  </si>
  <si>
    <t>可与物业管理系统、智能化集成系统共用</t>
  </si>
  <si>
    <t>系统服务器</t>
  </si>
  <si>
    <t>CPU：2颗 E5 -2660V4  8核 16线程以上；
内存：16GB DDR4-2400MHz以上；
网卡：标配4端口以上千兆以太网卡；
硬盘：硬盘容量2T SAS硬盘，2个，标配(RAID 0/1/5/6/10)智能阵列控制器；
电源：冗余电源，功率495W/750W；
机箱：2U机架式；
中文标准版 5用户</t>
  </si>
  <si>
    <t>(二)系统功能及接口模块</t>
  </si>
  <si>
    <t>资讯发布功能模块</t>
  </si>
  <si>
    <t>（1）物业管理处可通过智能终端向用户发布各类公共资讯；（2）物业管理处可通过智能终端向用户发布小区通知通告；（3）物业管理处可通过智能终端向用户发布各类生活资讯；（4）物业管理处可通过智能终端向用户发布市政公用服务信息；（5）系统对周边公立医疗提供信息发布接口；（6）系统对周边教育机构提供信息发布接口。</t>
  </si>
  <si>
    <t>相当于或优于瑞石、中创立方、新基点、路盛通</t>
  </si>
  <si>
    <t>由物业配套</t>
  </si>
  <si>
    <t>信息查询功能模块</t>
  </si>
  <si>
    <t>（1）通过链接相关网页实现费用查询；（2）通过链接相关网页实现在线业务办理；（3）通过链接相关网页实现服务动态查询；（4）查询物业服务合同范围内各种费用。</t>
  </si>
  <si>
    <t>信息检索功能模块</t>
  </si>
  <si>
    <t>（1）子模块应用服务检索；（2）资讯模块内容搜索。</t>
  </si>
  <si>
    <t>缴费管理功能模块</t>
  </si>
  <si>
    <t>（1）物业费用缴费；（2）生活费用缴费。</t>
  </si>
  <si>
    <t>物业服务功能模块</t>
  </si>
  <si>
    <t>（1）手机开门；（2）访客邀请；（3）提出投诉、建议、在线查询处理情况；（4）提出装修申请；（5）提出维修申请；（6）公共服务设施预定；（7）在线调查；（8）电子投票选举；（9）管家呼叫；（10）报事放行。</t>
  </si>
  <si>
    <t>家庭安防功能模块</t>
  </si>
  <si>
    <t>（1）家庭一键求助信息推送；（2）一键报警呼叫。</t>
  </si>
  <si>
    <t>消息提醒功能模块</t>
  </si>
  <si>
    <t>欠费提醒、已派工提醒等信息接收和管理</t>
  </si>
  <si>
    <t>生活服务功能模块</t>
  </si>
  <si>
    <t>（1）服务浏览；（2）服务管理；（3）下单支付；（4）订单管理；（5）评价管理。</t>
  </si>
  <si>
    <t>网上商城功能模块</t>
  </si>
  <si>
    <t>（1）商品浏览；（2）商品管理；（3）供应商管理；（4）订单管理；（5）退换申请；（6）评价管理。</t>
  </si>
  <si>
    <t>系统管理功能模块</t>
  </si>
  <si>
    <t>（1）账号管理；（2）帮助中心。</t>
  </si>
  <si>
    <t>移动端</t>
  </si>
  <si>
    <t>智慧生活业主端APP（ios and android）、与视频监控系统、出入口控制系统、停车场管理系统、可视对讲系统对接接口开发</t>
  </si>
  <si>
    <t xml:space="preserve">采用标准通信协议，开放系统应用接口，具备与其它智能化子系统集成及数据共享的功能，满足远程数据采集及控制等需求，支持WebAPI接口 或 Web Service接口。 </t>
  </si>
  <si>
    <t>13物业管理系统</t>
  </si>
  <si>
    <t>（一）系统功能及接口模块</t>
  </si>
  <si>
    <t>系统管理功能</t>
  </si>
  <si>
    <t>包括组织架构、权限管理、数据字典、报表管理、通用查询、原始数据导入、系统参数设置、数据库年结、提醒设置等</t>
  </si>
  <si>
    <t>基础管理功能</t>
  </si>
  <si>
    <t>包括楼宇资料、住户资料、员工资料、小区概况、设施和设备配套功能浏览、智慧小区服务项目浏览、物业管理规程、业委会概况等</t>
  </si>
  <si>
    <t>收费管理功能</t>
  </si>
  <si>
    <t>包括入住管理、物业服务费管理、公摊管理、抄表收费、停车收费、缴费通知、收费统计与查询、应税统计表、收费参数、预交管理、欠费管理、票据管理、台账管理、财务报表、财务软件接口等</t>
  </si>
  <si>
    <t>访客管理功能</t>
  </si>
  <si>
    <t>可对来访人员情况进行记录、查询等功能；</t>
  </si>
  <si>
    <t>客户服务功能</t>
  </si>
  <si>
    <t>包括本体维修、室内维修、装修管理、家政服务、客户访谈、服务调度、会员管理、报表管理等</t>
  </si>
  <si>
    <t>日常管理功能</t>
  </si>
  <si>
    <t>包括钥匙管理、车辆管理、设备设施管理、安全管理、生态环境管理、卫生管理等</t>
  </si>
  <si>
    <t>维修维护管理功能</t>
  </si>
  <si>
    <t>建立小区本体、园林景观、公共照明、消防设施、机电设备等资料数据库，包含相关设备设施的技术资料、维护维修信息；可根据小区设备设施的技术资料和维修记录制定物业维护保养计划；包括设备管理、设备保养、运维管理设备巡检等</t>
  </si>
  <si>
    <t>物资管理功能</t>
  </si>
  <si>
    <t>包括物料入库、物料出库、物料管理等</t>
  </si>
  <si>
    <t>人力资源管理功能</t>
  </si>
  <si>
    <t>包括岗位管理、人事档案、考勤排班、考勤记录、考勤报表等</t>
  </si>
  <si>
    <t>业主端APP（ios and android）</t>
  </si>
  <si>
    <t>采用标准通信协议，开放系统应用接口，具备与其它智能化子系统集成及数据共享的功能，满足远程数据采集及控制等需求，支持WebAPI接口 或 Web Service接口。</t>
  </si>
  <si>
    <t>M</t>
  </si>
  <si>
    <t>M=一</t>
  </si>
  <si>
    <t>14智能化集成系统</t>
  </si>
  <si>
    <t>(一)、软硬件环境</t>
  </si>
  <si>
    <t>服务器系统软件—操作系统</t>
  </si>
  <si>
    <t>SERVER 2016</t>
  </si>
  <si>
    <t>相当于或优于戴尔、联想、华硕</t>
  </si>
  <si>
    <t>服务器系统软件—数据库软件</t>
  </si>
  <si>
    <t>SQL Server 2012 中文标准版 15用户</t>
  </si>
  <si>
    <t>工作站系统软件—工作站系统</t>
  </si>
  <si>
    <t>1、操作系统：WIN7专业版及以上版本</t>
  </si>
  <si>
    <t>(二)、智能化集成系统</t>
  </si>
  <si>
    <t>智能化集成系统软件平台</t>
  </si>
  <si>
    <t>1.实现对区域内弱电系统的监控，实现对各机电设备的数据采集、监测、转储等功能的系统软件；
2.系统应采用B/S运行模式，支持本地及云部署；
3.内置标准接口，如Modbus、BACnet、OPC、DB、串口等，并支持扩展；
4.系统监控界面采用Web组态工具完成，组态采用Html5+Canvas技术，满足多操作系统和浏览器的使用要求，兼容PC、平板、手机；
5.基于角色访问管理机制，区分不同类型人员职责；
6.为保障实时数据的高效性，模块间通讯采用TCP协议；
7.强大的报表管理，提供各系统数据报表的查询及输出；
8.提供实时告警、历史告警查询管理功能；
9.提供完备的历史日志记录管理功能；
10.系统监控点位为20000点。</t>
  </si>
  <si>
    <t>智能客户端套件</t>
  </si>
  <si>
    <t>1.通过客户端访问服务器，平台日常管理主要工作窗口，与平台配套。</t>
  </si>
  <si>
    <t>(三)、集成子系统接口</t>
  </si>
  <si>
    <t>1.智慧信息服务系统接口二次开发,支持WebAPI接口 或 Web Service接口；
2.与系统采用网络连接，子系统开放接口协议；
3.数据展示：展示月度访客预约统计、物品出门事项、物品借还情况、小区通知、小区投票相关活动、商场各分类下报名统计；
4.信息发布：对接智慧信息服务系统，能联动发布信息到(例：小区用户端及物业管理端APP、电梯显示屏等）设备；
5.信息发布功能控制应当具备单选、多选、全选发布(例：电梯显示屏）设备，并能在单个页面内完成信息源文件的选择操作（例：文字、输入文字匹配节目名称）。</t>
  </si>
  <si>
    <t>1.物业管理系统接口二次开发，支持双向API标准接口及标准协议（如OPC、WebService、ODBC等）；
2.可通过远程链接的方式对接物业系统；3.基础数据展示：展示房源动态、小区住户身份比例、小区楼栋入住率、绿化管理情况、物业服务缴费情况、半年内未缴费住户分析、设施预约情况；
4.数据采集：集成系统将采集到的水电表计量数据传给物业管理系统做费用计算；5.智慧信息服务及物业管理系统由物业公司提供，在满足五象管委会标准前提下，需进行二次深化设计。</t>
  </si>
  <si>
    <t>1.公共广播系统接口二次开发，支持SDK接口或 WebAPI接口 或 OPC接口；
2.运行监测：实时监测和显示公共广播系统设备运行状态；
3.报警定位：当检测到设备异常报警时，在可视化图形场景界面内对报警点或报警发生区域进行定位；
4.实时监测和记录：实时监测背景音乐系统设备状态，如音量、设备工作状态。对背景音乐系统掉线、离线工作异常进行记录；
5.手动控制：手动在指定分区中播放指定音源文件；
6.定时音乐播放：通过定时任务功能自定义按照时间表在指定分区中进行音乐播放；
7.设备联动：当有报警发生或有其他联动请求时，可以播放预设广播内容；
8.分区播放：3D页面支持快捷选择对应回路进行联动控制（单设备或多设备音量选择，音源选择）功能控制。具备单选、多选、全选发布，并能在单个页面或悬浮窗内完成音频文件或音源的选择操作，支持多种常用音频格式；
9.可视化管理：以直观的图标方式在地图中标识大楼设备的位置信息、运行状态信息、基础信息等。用图标区分设备类型；用不同颜色区分设备点位或线路正常信息。</t>
  </si>
  <si>
    <t>信息导引及发布系统</t>
  </si>
  <si>
    <t>1.信息导引及发布系统接口二次开发，支持SDK接口 或 WebAPI接口 或 Web Service接口；
2.与系统采用网络连接，子系统开放接口协议；
3.状态监测：平台在信息引导及发布系统页面工作站上显示开关状态信息、点击获取当前播放节目名称；
4.关机控制：通过定时任务功能模块可按时间表设置定时关机或手动关机以及远程关闭。（要求信息引导及发布系统提供给智能化集成系统相应权限）；
5.系统联动：实现与消防系统的联动，当消防系统发生报警且确认后，通过集成平台联动信息导引及发布系统自动发布撤离通知，提供紧急疏散路线；
6.节目播放：软件实现输入节目名称播放，实现一个节目在所有设备或几个设备上播放；
7.可视化管理：以直观的图标方式在地图中标识大楼设备的位置信息、运行状态信息、基础信息等。用图标区分设备类型；用不同颜色区分设备点位或线路正常。</t>
  </si>
  <si>
    <t>1.入侵报警系统接口二次开发，支持支持SDK接口或 RS232接口；
2.实时监控：用户可以通过系统监测入侵报警探测器的运行状态，状态包括布防、撤防、旁路等；
3.设备控制：系统可以发送布防、撤防、旁路控制指令；
4.监测告警：平台对接周界系统进行入侵监测，当有入侵发生时进行入侵告警；
5.数据分析：对入侵报警事件进行趋势图分析，用户可对报警事件进行查询。对入侵报警进行统计，分析最易触发盗警设备所在区域，从而进行重点监控。系统对报警数据进行查询，用户可以按报警地点、报警时间进行查询；数据可以自定义生成报表并导出；
6.报警定位：发生异常报警时，在电子地图上对报警点进行定位；
7.系统联动：自动弹出报警点附近的摄像头监控画面。图像截取功能，报警发生后截取监控摄像机的抓拍图像。防盗报警系统联动门禁系统：关闭报警点周围的门禁系统。通过视频分配器报警信号可以将图像切换到控制室的监视上，并进行录像调用；
8.可视化管理：基于可视化图形场景进行可视化展现。直观展示设备名称；用不同色或动画效果区分报警点位正常、报警信息。</t>
  </si>
  <si>
    <t>1.出入口控制系统接口二次开发，支持WEBAPI接口 或 OPC 或 SDK接口；
2.与出入口控制系统采用网络连接，子系统开放接口协议；
3.实时监控：通过监控计算机实时查看每个通道的人员进出情况、每个通道的状态以及门禁系统的运行状态，记录通行人员信息，并可实时监控通道通行状况；
4.实时查询：能自动统计进入区域的人数总和，并且查询到人员资料，可准确统计区内人数。用户可以按地点、人员、卡号、时间查询出入记录，数据可以自定义生成报表；
5.报警定位：当接收到门禁系统非法开门事件或异常发生报警时，在可视化图形场景界面中对报警点进行定位；
6.系统协同联动：当接收到门禁系统非法开门事件报警时，系统按照设置的规则在报警界面内同步推送周边监控画面；
7.设备控制：实现远程开门。</t>
  </si>
  <si>
    <t>1.视频安防监控系统接口二次开发，支持视频编解码器SDK语言开发包；
2.与监控系统采用网络连接，监控系统开放SDK开发包；
3.实时视频浏览：支持查看摄像头实时画面；
4.状态监测：支持可视化展示主要设备的运行状态，如设备出现故障，可显示设备编号等信息，并记录设备故障及维修处理情况；
5.视频控制：支持通过视频工具栏进行实时视频进行操作（全屏/退出全屏、全部停止）；
6.云台控制：支持对球机或云台进行旋转、变焦、球机；
7.视频抓拍：支持对实时监控画面进行抓拍；
8.视频录像：支持对实时监控画面进行本地录像；
9.录像回放：支持同时回看多路摄像头实时画面，多画面同屏显示（可分为1/4/9画面显示），可对播放的视频录像进行暂停、拖放、停止、全屏等操作；
10.告警监测：可实现重点部位（例如无人值守机房、 夜间已设防区域等） 异常情况的报警；
11.报警联动：支持当其它联动子系统报警时，报警区域周围相应摄像头画面自动弹出，如为球机或云台则自动调用相应视频预置位。对于特别重大的报警信号，支持向紧急联系人传送报警信号；
12.电子地图分布：在各个楼层的电子地图上以摄像头图标（不同图标表示不同类型的摄像头）示意摄像头的安装分布，点击电子地图上摄像头图标，显示该摄像头实时图像；
13.可视化管理：3D界面悬窗展示监控设备详细信息包括设备编号、设备安装地址、设备型号等。</t>
  </si>
  <si>
    <t>1.访客对讲系统接口二次开发，支持WEBAPI接口 或 SDK接口 或 ODBC接口；2.实时监控：监测访客对讲系统的运行状态，对讲设备点位状态包括在线、离线等；
3.数据处理：访客通行按类别数据记录，并形成数据统计图表，在大屏呈现；
4.记录查询：系统记录按条件进行分类查询；
5.系统联动：可以联动门禁系统，打开访客对讲对应的门禁；
6.可视化管理：以直观的图标方式在地图中标识大楼设备的位置信息、运行状态信息、基础信息等。用图标区分设备类型；用不同颜色区分设备点位或线路正常、报警信息。</t>
  </si>
  <si>
    <t>停车库（场）管理系统</t>
  </si>
  <si>
    <t>1.停车库（场）管理系统接口二次开发，支持ODBC 或 WebAPI接口 或 Web Service接口；
2.与停车库（场）管理系统采用网络连接，子系统开放接口协议；
3.车场数据记录与查询：平台对停车数据进行记录；按筛选条件进行记录查询；用户可以人员编号、卡号、车牌号、时间、入场地点、出场地点查询；用户可以根据时间节点进行车辆出入总数统计；数据可以自定义生成报表；
4.报警定位：在可视化图形场景界面内对报警设备进行定位；
5.可视化管理：以直观的图标方式在地图中标识大楼设备的位置信息、运行状态信息、基础信息等。用图标区分设备类型；用不同颜色区分设备点位或线路正常、报警信息。</t>
  </si>
  <si>
    <t>第三方系统接口</t>
  </si>
  <si>
    <t>可提供第三系统接入的API接口</t>
  </si>
  <si>
    <t>(四)、系统实施</t>
  </si>
  <si>
    <t>智能化集成系统人机界面工程（定制开发）</t>
  </si>
  <si>
    <t>系统人机界面设计及开发。</t>
  </si>
  <si>
    <t>智能化集成软件平台安装和各子系统联调</t>
  </si>
  <si>
    <t>系统平台安装及各子系统联调。</t>
  </si>
  <si>
    <t>15机房工程</t>
  </si>
  <si>
    <t>(一)机柜</t>
  </si>
  <si>
    <t>服务器机柜</t>
  </si>
  <si>
    <t>WDH：600mm×800mm×2000mm，通透前、后门，前单后双纯平梅花网孔门，带侧板并柜，配置：2条垂直理线槽，50套M6安装套件。</t>
  </si>
  <si>
    <t>相当于或优于图腾、大唐卫士</t>
  </si>
  <si>
    <t>PDU管控单元</t>
  </si>
  <si>
    <t>单个机柜配2条，左右侧安装，上进线。每条PDU：AC250V 50Hz 32A，输入接口为接线盒输入；输出包括18个万用10A插座；配置液晶显示模块（电流、电压、功率、电能），RS485通讯接口，带电热插拔，电源侧配置长寿命LED电源指示灯。外壳颜色为黑色；A、B路采用不同颜色、不同丝印区分。</t>
  </si>
  <si>
    <t>(二)装饰及空调部分工程</t>
  </si>
  <si>
    <t>5P吊顶空调</t>
  </si>
  <si>
    <t>5P,变频（含铜管及冷媒），含外机支架等辅助材料</t>
  </si>
  <si>
    <t>相当于或优于格力、美的</t>
  </si>
  <si>
    <t>防静电地板</t>
  </si>
  <si>
    <r>
      <rPr>
        <sz val="10"/>
        <rFont val="宋体"/>
        <charset val="134"/>
      </rPr>
      <t>规格尺寸：（</t>
    </r>
    <r>
      <rPr>
        <sz val="10"/>
        <rFont val="tggj"/>
        <charset val="134"/>
      </rPr>
      <t>1</t>
    </r>
    <r>
      <rPr>
        <sz val="10"/>
        <rFont val="宋体"/>
        <charset val="134"/>
      </rPr>
      <t>）本期工程所用地板为全钢有边防静电活动地板，地板规格尺寸为：</t>
    </r>
    <r>
      <rPr>
        <sz val="10"/>
        <rFont val="tggj"/>
        <charset val="134"/>
      </rPr>
      <t>600×600×35</t>
    </r>
    <r>
      <rPr>
        <sz val="10"/>
        <rFont val="宋体"/>
        <charset val="134"/>
      </rPr>
      <t>（</t>
    </r>
    <r>
      <rPr>
        <sz val="10"/>
        <rFont val="tggj"/>
        <charset val="134"/>
      </rPr>
      <t>mm</t>
    </r>
    <r>
      <rPr>
        <sz val="10"/>
        <rFont val="宋体"/>
        <charset val="134"/>
      </rPr>
      <t>），含龙骨支架</t>
    </r>
  </si>
  <si>
    <t>相当于或优于兴铁、红日、通路</t>
  </si>
  <si>
    <t>㎡</t>
  </si>
  <si>
    <t>不锈钢踢脚线</t>
  </si>
  <si>
    <t>采用304不锈钢定制，规格0.8mmX10mmX100mmX10mm，</t>
  </si>
  <si>
    <t>(三)电气技术工程</t>
  </si>
  <si>
    <t>UPS电源主机</t>
  </si>
  <si>
    <t>60KVA</t>
  </si>
  <si>
    <t>蓄电池</t>
  </si>
  <si>
    <t>12V100H</t>
  </si>
  <si>
    <t>相当于或优于山特、科华、施耐德</t>
  </si>
  <si>
    <t>蓄电池架（含电池连接线）</t>
  </si>
  <si>
    <t>A32，四层，长885x宽780x高1210mm</t>
  </si>
  <si>
    <t>相当于或优于越力、洛奇、施耐德</t>
  </si>
  <si>
    <t>支撑钢架</t>
  </si>
  <si>
    <t>L5角钢，国标</t>
  </si>
  <si>
    <t>UPS配电箱</t>
  </si>
  <si>
    <t>含6个32A回路开关，8个20A带漏电保护回路开关，2个63A回路开关，1个25A回路开关，15个20A回路开关，14个20A带漏电保护回路开关，成套防雷接地装置。</t>
  </si>
  <si>
    <t>楼层配电箱</t>
  </si>
  <si>
    <t>含6个回路开关16A，成套防雷接地装置。</t>
  </si>
  <si>
    <t>总平设备配电箱</t>
  </si>
  <si>
    <t>含3个回路开关16A，成套防雷接地装置。</t>
  </si>
  <si>
    <t>大门岗亭配电箱</t>
  </si>
  <si>
    <t>双孔网络插座</t>
  </si>
  <si>
    <t>无线AP</t>
  </si>
  <si>
    <t>1. 支持802.11ax标准；
2. 采用双路双频设计；
3. 整机4条空间流；
4. 整机最大无线速率≥2.4Gbps；
5. 有线上联端口速率≥1Gbps；
6. 支持PoE/本地DC48V电源两种供电模式；
7. 为快速建立高度隔离的安全网络，设备应支持实现AP虚拟化功能，实现一台AP虚拟为多台AP，分别受不同AC设备独立管理，互不影响。不同虚拟AP之间数据隔离，虚拟AP在AC上不占用AP License；</t>
  </si>
  <si>
    <t>低烟无卤耐火电力电缆WDZ-YJY-3x50+1x25</t>
  </si>
  <si>
    <t>WDZ-YJY-3x50+1x25</t>
  </si>
  <si>
    <t>低烟无卤耐火电力电缆WDZ-YJY-5x10</t>
  </si>
  <si>
    <t>WDZ-YJY-5x10</t>
  </si>
  <si>
    <t>铜芯护套导线
WDZ-YJY3x2.5</t>
  </si>
  <si>
    <t>低烟无卤耐火电力电缆WDZ-YJY-3x6</t>
  </si>
  <si>
    <t>(四)接地防雷</t>
  </si>
  <si>
    <t>扁铜排</t>
  </si>
  <si>
    <t>3×30铜排，含绝缘支持端子</t>
  </si>
  <si>
    <t>接地铜芯线</t>
  </si>
  <si>
    <t>ZR-BVR6mm²</t>
  </si>
  <si>
    <t>紫铜接地体</t>
  </si>
  <si>
    <t>30x3mm</t>
  </si>
  <si>
    <t>16有线电视系统</t>
  </si>
  <si>
    <t>2芯入户皮线光缆</t>
  </si>
  <si>
    <t>G.657A单模光纤</t>
  </si>
  <si>
    <t>与光纤入户同用</t>
  </si>
  <si>
    <t>17信息导引发布系统</t>
  </si>
  <si>
    <t>(一)设备</t>
  </si>
  <si>
    <t>信息发布管理电脑</t>
  </si>
  <si>
    <t>信息发布系统软件</t>
  </si>
  <si>
    <t>1、系统支持多媒体信息的采集、管理、发布、控制终端工作状态；2、支持定时播出指定节目功能；3、支持高清播放功能；4、支持多种多内置操作系统，可直接连接网络媒体格式文件；5、支持多种屏幕比例；6、支持外部信息播放功能。</t>
  </si>
  <si>
    <t>相当于或优于优胜、洲明、利亚德</t>
  </si>
  <si>
    <t>32寸LCD信息发布显示屏</t>
  </si>
  <si>
    <t>屏幕尺寸 32英寸;屏幕类型 LED显示屏;屏幕比例16:9（宽屏）;分辩率 1336x768;点距0.121×0.363mm;亮度 450cd/m；2;对比度 1500:1（静态）;可视面积 698×392mm;可视角度 89/89°;显示色彩 16.7M;视频格式 MPEG1（VCD），MPEG2（DVD），MPEG4，AVI，VOB，RMVB，DAT，XVID，MOV音频格式MP3，WMA;图片格式 JPEG，BMP，GIF，PNG;安全保护功能 带安全保护锁，防止随意更换存储卡;开关机控制 定时开关机;播放模式 支持循环播放;断电记忆功能 支持;网络功能 支持;内置操作系统 系统平台基于Android 4.0及以上版本，平台具有标准化、开放性的优势;1.5G工控处理器，集成高清解码芯片;1G DDR3;嵌入式系统，免疫病毒，不死机，不蓝屏;支持PPT,WORD,EXCEL，PDF的播放;时间显示 时间调整显示、可开关;遥控功能 支持遥控。</t>
  </si>
  <si>
    <t>43寸触摸屏查询机</t>
  </si>
  <si>
    <t>1、43寸触摸屏查询机；2、显示尺寸：43 inch ; 3、可视角：178°(H) / 178°(V) ；4、物理分辨率：1080*1920</t>
  </si>
  <si>
    <t>电视机</t>
  </si>
  <si>
    <t>46寸电视配置需优于以下：分辨率大于1080P，RAM大于2G，ROM大于8G，具备HDMI,USB,AV，网络接口。
内置操作系统，可直接连接网络
屏幕尺寸 46英寸;屏幕类型 LED显示屏;屏幕比例16:9（宽屏）;分辩率 3840x2160;亮度 450cd/m2;对比度 5000:1（静态）;色域值 80%;视频格式 MPEG1（VCD），MPEG2（DVD），MPEG4，AVI，VOB，RMVB，DAT，XVID，MOV音频格式 MP3，WMA;图片格式 JPEG，BMP，GIF，PNG;安全保护功能 带安全保护锁，防止随意更换存储卡;开关机控制 定时开关机;播放模式 支持循环播放;断电记忆功能 支持;网络功能 支持;内置操作系统 系统平台基于Android 4.0及以上版本，平台具有标准化、开放性的优势;1.5G工控处理器，集成高清解码芯片;2G DDR3;32G储存内存；嵌入式系统，免疫病毒，不死机，不蓝屏;支持PPT,WORD,EXCEL，PDF的播放;时间显示 时间调整显示、可开关;遥控功能 支持遥控。</t>
  </si>
  <si>
    <t>产品采用两级串联式联动式保护,传输特性达100Mbps,插入损耗低,标称放电电流In(8/20μs）5kA,最大放电电流Imax(8/20μs）10kA。</t>
  </si>
  <si>
    <t>相当于或优于地凯、希崖、正泰</t>
  </si>
  <si>
    <t>电源浪涌保护器</t>
  </si>
  <si>
    <t>产品采用两级串联式联动式保护，标称放电电流In(8/20μs）10kA,最大放电电流Imax(8/20μs）20kA。</t>
  </si>
  <si>
    <t>信号浪涌保护器</t>
  </si>
  <si>
    <t>RJ45-1GE/8S</t>
  </si>
  <si>
    <t>单口面板</t>
  </si>
  <si>
    <t>86型暗装</t>
  </si>
  <si>
    <t>相当于或优于普天天纪、粤道、天诚</t>
  </si>
  <si>
    <t>六类非屏蔽模块</t>
  </si>
  <si>
    <t>8芯免打模</t>
  </si>
  <si>
    <t xml:space="preserve">采用标准通信协议，开放系统应用接口，具备与其它智能化子系统集成及数据共享的功能，满足远程数据采集及控制等需求，支持SDK接口 或 WebAPI接口 或 Web Service接口。 </t>
  </si>
  <si>
    <t>(二)线材</t>
  </si>
  <si>
    <t>阻燃铜芯电力电缆
WDZ-YJV-3x2.5mm2</t>
  </si>
  <si>
    <t>WDZ-YJV-3x2.5mm2</t>
  </si>
  <si>
    <t>阻燃铜芯电力电缆
WDZ-YJV-3x6.0mm2</t>
  </si>
  <si>
    <t>WDZ-YJV-3x6.0mm2</t>
  </si>
  <si>
    <t>PVC32</t>
  </si>
  <si>
    <t>18环境监测系统</t>
  </si>
  <si>
    <t>气象数据采集系统</t>
  </si>
  <si>
    <t>气象数据采集可对风向、风速、雨量、温度、湿度、辐射、大气压等气象要素进行全天候现场精确测量。可保存至少一年的气象数据；具有多种通讯方式（有线、数传电台、GPRS移动通讯等）将数据传输到消控室数据库中，用于统计分析和处理。1、支架采用全不锈钢支架，防腐工艺处理，适合于野外作业；2、可观测风速、风向、温度、湿度、气压、降雨量、辐射、照度、蒸发等多种气象要素；3、多种供电方式,具有交流、直流以及太阳能供电系统可供选择；4、多种通讯方式,RS232、RS485、RJ45、GPRS、无线电台等供选择；5、支持MODBUS通讯，可开放通讯协议；6、支持气象短信功能；可配置户外LED气象显示屏；7、低功耗、高精度、高可靠性，完全实现野外无人值守；8、大容量数据存储器，可存储一年以上的气象数据；9、完善的多种防雷保护设计，能有效的防雷电干扰；10、操作简便、易于安装维护和远、近程监控含软硬件。</t>
  </si>
  <si>
    <t>相当于或优于蓝居、中科能慧、汉秦信通</t>
  </si>
  <si>
    <t>RS485光电隔离中继器</t>
  </si>
  <si>
    <t>兼容RS-485标准，RS485输出接口采用高速光耦进行2500V光电隔离和600W防雷保护,内部带有零延时自动收发转换，独有的I/O电路自动控制数据流方向，数据通讯速率300-200KBPS，带有电源指示灯及数据流量指示灯可指示故障情况。</t>
  </si>
  <si>
    <t>防雷SPD</t>
  </si>
  <si>
    <t>最大持续运行电压5VDC；冲击过电流3kA；电压保护水平Up（10V/700μs）30V；响应时间&lt;1ns。</t>
  </si>
  <si>
    <t>电源防雷模块箱</t>
  </si>
  <si>
    <t>防雷保护等级B级；适用的供电系统类型TT、TN、IT；额定电压220V/380V AC；最大持续运行电压385V AC；额定工作频率50Hz/60Hz；冲击电流Iimp(10/350μs)25kA；标称放电电流In(8/20μs)
50kA；电压保护水平2.0kV；响应时间(L/N-PE)&lt;100ns。</t>
  </si>
  <si>
    <t>环境监测系统管理软件</t>
  </si>
  <si>
    <t>采用标准通信协议，开放系统应用接口，具备与其它智能化子系统集成及数据共享的功能，满足远程数据采集及控制等需求，支持WEBAPI接口 或 Modbus接口。</t>
  </si>
  <si>
    <t>RS485数据线</t>
  </si>
  <si>
    <t>STP-120Ω-2x0.5</t>
  </si>
  <si>
    <t>PVC阻燃硬塑料管</t>
  </si>
  <si>
    <t>合计</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</si>
</sst>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00_);[Red]\(0.00\)"/>
    <numFmt numFmtId="178" formatCode="0.00_ "/>
    <numFmt numFmtId="179" formatCode="[DBNum2][$RMB]General;[Red][DBNum2][$RMB]General"/>
  </numFmts>
  <fonts count="74">
    <font>
      <sz val="11"/>
      <color indexed="8"/>
      <name val="宋体"/>
      <charset val="134"/>
      <scheme val="minor"/>
    </font>
    <font>
      <sz val="11"/>
      <name val="宋体"/>
      <charset val="134"/>
      <scheme val="minor"/>
    </font>
    <font>
      <sz val="11"/>
      <color rgb="FFFF0000"/>
      <name val="宋体"/>
      <charset val="134"/>
      <scheme val="minor"/>
    </font>
    <font>
      <sz val="10"/>
      <name val="宋体"/>
      <charset val="134"/>
      <scheme val="minor"/>
    </font>
    <font>
      <sz val="10"/>
      <color rgb="FFFF0000"/>
      <name val="宋体"/>
      <charset val="134"/>
      <scheme val="minor"/>
    </font>
    <font>
      <b/>
      <sz val="14"/>
      <name val="黑体"/>
      <charset val="134"/>
    </font>
    <font>
      <b/>
      <sz val="10"/>
      <name val="宋体"/>
      <charset val="134"/>
    </font>
    <font>
      <b/>
      <sz val="14"/>
      <name val="宋体"/>
      <charset val="134"/>
    </font>
    <font>
      <sz val="10"/>
      <name val="宋体"/>
      <charset val="134"/>
    </font>
    <font>
      <sz val="10"/>
      <color rgb="FFFF0000"/>
      <name val="宋体"/>
      <charset val="134"/>
    </font>
    <font>
      <b/>
      <sz val="9"/>
      <name val="宋体"/>
      <charset val="134"/>
    </font>
    <font>
      <sz val="8"/>
      <name val="宋体"/>
      <charset val="134"/>
      <scheme val="minor"/>
    </font>
    <font>
      <sz val="8"/>
      <color rgb="FFFF0000"/>
      <name val="宋体"/>
      <charset val="134"/>
      <scheme val="minor"/>
    </font>
    <font>
      <sz val="9"/>
      <name val="宋体"/>
      <charset val="134"/>
      <scheme val="minor"/>
    </font>
    <font>
      <sz val="9"/>
      <color rgb="FFFF0000"/>
      <name val="宋体"/>
      <charset val="134"/>
      <scheme val="minor"/>
    </font>
    <font>
      <sz val="11"/>
      <name val="SimSun"/>
      <charset val="134"/>
    </font>
    <font>
      <b/>
      <sz val="11"/>
      <name val="宋体"/>
      <charset val="134"/>
      <scheme val="minor"/>
    </font>
    <font>
      <sz val="9"/>
      <color rgb="FFFF0000"/>
      <name val="宋体"/>
      <charset val="134"/>
    </font>
    <font>
      <sz val="9"/>
      <name val="宋体"/>
      <charset val="134"/>
    </font>
    <font>
      <b/>
      <sz val="10"/>
      <name val="宋体"/>
      <charset val="134"/>
      <scheme val="minor"/>
    </font>
    <font>
      <b/>
      <sz val="14"/>
      <name val="宋体"/>
      <charset val="134"/>
      <scheme val="minor"/>
    </font>
    <font>
      <sz val="12"/>
      <color indexed="8"/>
      <name val="宋体"/>
      <charset val="134"/>
      <scheme val="minor"/>
    </font>
    <font>
      <b/>
      <sz val="18"/>
      <color theme="1"/>
      <name val="黑体"/>
      <charset val="134"/>
    </font>
    <font>
      <sz val="14"/>
      <color theme="1"/>
      <name val="黑体"/>
      <charset val="134"/>
    </font>
    <font>
      <b/>
      <sz val="12"/>
      <color theme="1"/>
      <name val="黑体"/>
      <charset val="134"/>
    </font>
    <font>
      <sz val="12"/>
      <color theme="1"/>
      <name val="黑体"/>
      <charset val="134"/>
    </font>
    <font>
      <sz val="11"/>
      <color theme="1"/>
      <name val="黑体"/>
      <charset val="134"/>
    </font>
    <font>
      <b/>
      <sz val="14"/>
      <color theme="1"/>
      <name val="黑体"/>
      <charset val="134"/>
    </font>
    <font>
      <sz val="12"/>
      <name val="微软雅黑"/>
      <charset val="134"/>
    </font>
    <font>
      <sz val="10"/>
      <name val="微软雅黑"/>
      <charset val="134"/>
    </font>
    <font>
      <b/>
      <sz val="10"/>
      <name val="微软雅黑"/>
      <charset val="134"/>
    </font>
    <font>
      <sz val="12"/>
      <color rgb="FFFFFF00"/>
      <name val="微软雅黑"/>
      <charset val="134"/>
    </font>
    <font>
      <b/>
      <sz val="18"/>
      <name val="微软雅黑"/>
      <charset val="134"/>
    </font>
    <font>
      <sz val="18"/>
      <color rgb="FFFFFF00"/>
      <name val="微软雅黑"/>
      <charset val="134"/>
    </font>
    <font>
      <sz val="10"/>
      <color rgb="FFFFFF00"/>
      <name val="微软雅黑"/>
      <charset val="134"/>
    </font>
    <font>
      <b/>
      <sz val="8"/>
      <name val="微软雅黑"/>
      <charset val="134"/>
    </font>
    <font>
      <b/>
      <sz val="10"/>
      <color rgb="FFFFFF00"/>
      <name val="微软雅黑"/>
      <charset val="134"/>
    </font>
    <font>
      <u/>
      <sz val="14"/>
      <color indexed="8"/>
      <name val="宋体"/>
      <charset val="134"/>
    </font>
    <font>
      <b/>
      <sz val="17"/>
      <color indexed="8"/>
      <name val="宋体"/>
      <charset val="134"/>
    </font>
    <font>
      <b/>
      <sz val="17"/>
      <name val="宋体"/>
      <charset val="134"/>
    </font>
    <font>
      <b/>
      <sz val="23"/>
      <color indexed="8"/>
      <name val="宋体"/>
      <charset val="134"/>
    </font>
    <font>
      <b/>
      <sz val="21"/>
      <color indexed="8"/>
      <name val="宋体"/>
      <charset val="134"/>
    </font>
    <font>
      <b/>
      <sz val="14"/>
      <color indexed="8"/>
      <name val="宋体"/>
      <charset val="134"/>
    </font>
    <font>
      <sz val="14"/>
      <color indexed="8"/>
      <name val="宋体"/>
      <charset val="134"/>
    </font>
    <font>
      <sz val="14"/>
      <name val="宋体"/>
      <charset val="134"/>
    </font>
    <font>
      <sz val="12"/>
      <color indexed="8"/>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
      <sz val="11"/>
      <color indexed="8"/>
      <name val="宋体"/>
      <charset val="134"/>
    </font>
    <font>
      <sz val="11"/>
      <color indexed="8"/>
      <name val="Tahoma"/>
      <charset val="134"/>
    </font>
    <font>
      <sz val="8"/>
      <name val="Arial"/>
      <charset val="134"/>
    </font>
    <font>
      <sz val="10"/>
      <name val="Geneva"/>
      <charset val="134"/>
    </font>
    <font>
      <sz val="10"/>
      <name val="tggj"/>
      <charset val="134"/>
    </font>
  </fonts>
  <fills count="38">
    <fill>
      <patternFill patternType="none"/>
    </fill>
    <fill>
      <patternFill patternType="gray125"/>
    </fill>
    <fill>
      <patternFill patternType="solid">
        <fgColor theme="8" tint="0.6"/>
        <bgColor indexed="64"/>
      </patternFill>
    </fill>
    <fill>
      <patternFill patternType="solid">
        <fgColor theme="9" tint="0.4"/>
        <bgColor indexed="64"/>
      </patternFill>
    </fill>
    <fill>
      <patternFill patternType="solid">
        <fgColor rgb="FFFFFF00"/>
        <bgColor indexed="64"/>
      </patternFill>
    </fill>
    <fill>
      <patternFill patternType="solid">
        <fgColor theme="8" tint="0.599993896298105"/>
        <bgColor indexed="64"/>
      </patternFill>
    </fill>
    <fill>
      <patternFill patternType="solid">
        <fgColor rgb="FFB4C6E7"/>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indexed="9"/>
      </right>
      <top/>
      <bottom style="thin">
        <color indexed="9"/>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47" fillId="0" borderId="0" applyFont="0" applyFill="0" applyBorder="0" applyAlignment="0" applyProtection="0">
      <alignment vertical="center"/>
    </xf>
    <xf numFmtId="44" fontId="47" fillId="0" borderId="0" applyFont="0" applyFill="0" applyBorder="0" applyAlignment="0" applyProtection="0">
      <alignment vertical="center"/>
    </xf>
    <xf numFmtId="9" fontId="47" fillId="0" borderId="0" applyFont="0" applyFill="0" applyBorder="0" applyAlignment="0" applyProtection="0">
      <alignment vertical="center"/>
    </xf>
    <xf numFmtId="41" fontId="47" fillId="0" borderId="0" applyFont="0" applyFill="0" applyBorder="0" applyAlignment="0" applyProtection="0">
      <alignment vertical="center"/>
    </xf>
    <xf numFmtId="42" fontId="47" fillId="0" borderId="0" applyFon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8" borderId="11"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2" applyNumberFormat="0" applyFill="0" applyAlignment="0" applyProtection="0">
      <alignment vertical="center"/>
    </xf>
    <xf numFmtId="0" fontId="54" fillId="0" borderId="12" applyNumberFormat="0" applyFill="0" applyAlignment="0" applyProtection="0">
      <alignment vertical="center"/>
    </xf>
    <xf numFmtId="0" fontId="55" fillId="0" borderId="13" applyNumberFormat="0" applyFill="0" applyAlignment="0" applyProtection="0">
      <alignment vertical="center"/>
    </xf>
    <xf numFmtId="0" fontId="55" fillId="0" borderId="0" applyNumberFormat="0" applyFill="0" applyBorder="0" applyAlignment="0" applyProtection="0">
      <alignment vertical="center"/>
    </xf>
    <xf numFmtId="0" fontId="56" fillId="9" borderId="14" applyNumberFormat="0" applyAlignment="0" applyProtection="0">
      <alignment vertical="center"/>
    </xf>
    <xf numFmtId="0" fontId="57" fillId="10" borderId="15" applyNumberFormat="0" applyAlignment="0" applyProtection="0">
      <alignment vertical="center"/>
    </xf>
    <xf numFmtId="0" fontId="58" fillId="10" borderId="14" applyNumberFormat="0" applyAlignment="0" applyProtection="0">
      <alignment vertical="center"/>
    </xf>
    <xf numFmtId="0" fontId="59" fillId="11" borderId="16" applyNumberFormat="0" applyAlignment="0" applyProtection="0">
      <alignment vertical="center"/>
    </xf>
    <xf numFmtId="0" fontId="60" fillId="0" borderId="17" applyNumberFormat="0" applyFill="0" applyAlignment="0" applyProtection="0">
      <alignment vertical="center"/>
    </xf>
    <xf numFmtId="0" fontId="61" fillId="0" borderId="18" applyNumberFormat="0" applyFill="0" applyAlignment="0" applyProtection="0">
      <alignment vertical="center"/>
    </xf>
    <xf numFmtId="0" fontId="62" fillId="12" borderId="0" applyNumberFormat="0" applyBorder="0" applyAlignment="0" applyProtection="0">
      <alignment vertical="center"/>
    </xf>
    <xf numFmtId="0" fontId="63" fillId="13" borderId="0" applyNumberFormat="0" applyBorder="0" applyAlignment="0" applyProtection="0">
      <alignment vertical="center"/>
    </xf>
    <xf numFmtId="0" fontId="64" fillId="14" borderId="0" applyNumberFormat="0" applyBorder="0" applyAlignment="0" applyProtection="0">
      <alignment vertical="center"/>
    </xf>
    <xf numFmtId="0" fontId="65" fillId="15" borderId="0" applyNumberFormat="0" applyBorder="0" applyAlignment="0" applyProtection="0">
      <alignment vertical="center"/>
    </xf>
    <xf numFmtId="0" fontId="66" fillId="16" borderId="0" applyNumberFormat="0" applyBorder="0" applyAlignment="0" applyProtection="0">
      <alignment vertical="center"/>
    </xf>
    <xf numFmtId="0" fontId="66" fillId="17" borderId="0" applyNumberFormat="0" applyBorder="0" applyAlignment="0" applyProtection="0">
      <alignment vertical="center"/>
    </xf>
    <xf numFmtId="0" fontId="65" fillId="18" borderId="0" applyNumberFormat="0" applyBorder="0" applyAlignment="0" applyProtection="0">
      <alignment vertical="center"/>
    </xf>
    <xf numFmtId="0" fontId="65" fillId="19" borderId="0" applyNumberFormat="0" applyBorder="0" applyAlignment="0" applyProtection="0">
      <alignment vertical="center"/>
    </xf>
    <xf numFmtId="0" fontId="66" fillId="20" borderId="0" applyNumberFormat="0" applyBorder="0" applyAlignment="0" applyProtection="0">
      <alignment vertical="center"/>
    </xf>
    <xf numFmtId="0" fontId="66" fillId="21" borderId="0" applyNumberFormat="0" applyBorder="0" applyAlignment="0" applyProtection="0">
      <alignment vertical="center"/>
    </xf>
    <xf numFmtId="0" fontId="65" fillId="22" borderId="0" applyNumberFormat="0" applyBorder="0" applyAlignment="0" applyProtection="0">
      <alignment vertical="center"/>
    </xf>
    <xf numFmtId="0" fontId="65" fillId="23" borderId="0" applyNumberFormat="0" applyBorder="0" applyAlignment="0" applyProtection="0">
      <alignment vertical="center"/>
    </xf>
    <xf numFmtId="0" fontId="66" fillId="24" borderId="0" applyNumberFormat="0" applyBorder="0" applyAlignment="0" applyProtection="0">
      <alignment vertical="center"/>
    </xf>
    <xf numFmtId="0" fontId="66" fillId="25" borderId="0" applyNumberFormat="0" applyBorder="0" applyAlignment="0" applyProtection="0">
      <alignment vertical="center"/>
    </xf>
    <xf numFmtId="0" fontId="65" fillId="26" borderId="0" applyNumberFormat="0" applyBorder="0" applyAlignment="0" applyProtection="0">
      <alignment vertical="center"/>
    </xf>
    <xf numFmtId="0" fontId="65" fillId="27" borderId="0" applyNumberFormat="0" applyBorder="0" applyAlignment="0" applyProtection="0">
      <alignment vertical="center"/>
    </xf>
    <xf numFmtId="0" fontId="66" fillId="28" borderId="0" applyNumberFormat="0" applyBorder="0" applyAlignment="0" applyProtection="0">
      <alignment vertical="center"/>
    </xf>
    <xf numFmtId="0" fontId="66" fillId="29" borderId="0" applyNumberFormat="0" applyBorder="0" applyAlignment="0" applyProtection="0">
      <alignment vertical="center"/>
    </xf>
    <xf numFmtId="0" fontId="65" fillId="30" borderId="0" applyNumberFormat="0" applyBorder="0" applyAlignment="0" applyProtection="0">
      <alignment vertical="center"/>
    </xf>
    <xf numFmtId="0" fontId="65" fillId="31" borderId="0" applyNumberFormat="0" applyBorder="0" applyAlignment="0" applyProtection="0">
      <alignment vertical="center"/>
    </xf>
    <xf numFmtId="0" fontId="66" fillId="32" borderId="0" applyNumberFormat="0" applyBorder="0" applyAlignment="0" applyProtection="0">
      <alignment vertical="center"/>
    </xf>
    <xf numFmtId="0" fontId="66" fillId="5" borderId="0" applyNumberFormat="0" applyBorder="0" applyAlignment="0" applyProtection="0">
      <alignment vertical="center"/>
    </xf>
    <xf numFmtId="0" fontId="65" fillId="33" borderId="0" applyNumberFormat="0" applyBorder="0" applyAlignment="0" applyProtection="0">
      <alignment vertical="center"/>
    </xf>
    <xf numFmtId="0" fontId="65" fillId="34" borderId="0" applyNumberFormat="0" applyBorder="0" applyAlignment="0" applyProtection="0">
      <alignment vertical="center"/>
    </xf>
    <xf numFmtId="0" fontId="66" fillId="35" borderId="0" applyNumberFormat="0" applyBorder="0" applyAlignment="0" applyProtection="0">
      <alignment vertical="center"/>
    </xf>
    <xf numFmtId="0" fontId="66" fillId="36" borderId="0" applyNumberFormat="0" applyBorder="0" applyAlignment="0" applyProtection="0">
      <alignment vertical="center"/>
    </xf>
    <xf numFmtId="0" fontId="65" fillId="37" borderId="0" applyNumberFormat="0" applyBorder="0" applyAlignment="0" applyProtection="0">
      <alignment vertical="center"/>
    </xf>
    <xf numFmtId="0" fontId="45" fillId="0" borderId="0"/>
    <xf numFmtId="0" fontId="67" fillId="0" borderId="0" applyProtection="0">
      <alignment vertical="center"/>
    </xf>
    <xf numFmtId="0" fontId="68" fillId="0" borderId="0"/>
    <xf numFmtId="0" fontId="67" fillId="0" borderId="0"/>
    <xf numFmtId="0" fontId="67" fillId="0" borderId="0">
      <alignment vertical="center"/>
    </xf>
    <xf numFmtId="0" fontId="69" fillId="0" borderId="0">
      <alignment vertical="center"/>
    </xf>
    <xf numFmtId="0" fontId="67" fillId="0" borderId="0">
      <alignment vertical="center"/>
    </xf>
    <xf numFmtId="0" fontId="67" fillId="0" borderId="0"/>
    <xf numFmtId="0" fontId="67" fillId="0" borderId="0">
      <alignment vertical="center"/>
    </xf>
    <xf numFmtId="176" fontId="70" fillId="0" borderId="0">
      <alignment vertical="center"/>
    </xf>
    <xf numFmtId="0" fontId="68" fillId="0" borderId="0"/>
    <xf numFmtId="0" fontId="71" fillId="0" borderId="0"/>
    <xf numFmtId="0" fontId="69" fillId="0" borderId="0" applyProtection="0">
      <alignment vertical="center"/>
    </xf>
    <xf numFmtId="0" fontId="72" fillId="0" borderId="0">
      <alignment vertical="center"/>
    </xf>
    <xf numFmtId="0" fontId="67" fillId="0" borderId="0">
      <alignment vertical="center"/>
    </xf>
  </cellStyleXfs>
  <cellXfs count="211">
    <xf numFmtId="0" fontId="0" fillId="0" borderId="0" xfId="0" applyFont="1">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3" fillId="0" borderId="0" xfId="0" applyFont="1" applyFill="1" applyAlignment="1"/>
    <xf numFmtId="0" fontId="4" fillId="0" borderId="0" xfId="0" applyFont="1" applyFill="1" applyAlignment="1"/>
    <xf numFmtId="0" fontId="1" fillId="0" borderId="0" xfId="0" applyFont="1" applyFill="1" applyAlignment="1"/>
    <xf numFmtId="0" fontId="1" fillId="0" borderId="0" xfId="0" applyFont="1" applyAlignment="1">
      <alignment vertical="center" wrapText="1"/>
    </xf>
    <xf numFmtId="177" fontId="1" fillId="0" borderId="0" xfId="0" applyNumberFormat="1" applyFont="1">
      <alignment vertical="center"/>
    </xf>
    <xf numFmtId="0" fontId="3" fillId="0" borderId="0" xfId="0" applyFont="1">
      <alignment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0" fontId="7" fillId="3" borderId="2" xfId="0" applyNumberFormat="1" applyFont="1" applyFill="1" applyBorder="1" applyAlignment="1">
      <alignment horizontal="left" vertical="center"/>
    </xf>
    <xf numFmtId="0" fontId="7"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center" vertical="center"/>
    </xf>
    <xf numFmtId="177" fontId="6" fillId="3" borderId="2" xfId="0" applyNumberFormat="1" applyFont="1" applyFill="1" applyBorder="1" applyAlignment="1">
      <alignment horizontal="center" vertical="center"/>
    </xf>
    <xf numFmtId="0" fontId="6" fillId="0" borderId="2" xfId="0" applyNumberFormat="1" applyFont="1" applyFill="1" applyBorder="1" applyAlignment="1">
      <alignment horizontal="left" vertical="center"/>
    </xf>
    <xf numFmtId="0" fontId="8" fillId="0" borderId="2" xfId="0" applyNumberFormat="1" applyFont="1" applyFill="1" applyBorder="1" applyAlignment="1">
      <alignment horizontal="left" vertical="center"/>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xf>
    <xf numFmtId="0" fontId="8" fillId="4"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2" xfId="0" applyNumberFormat="1" applyFont="1" applyFill="1" applyBorder="1" applyAlignment="1">
      <alignment horizontal="left" vertical="center"/>
    </xf>
    <xf numFmtId="0" fontId="9"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9" fillId="4" borderId="2" xfId="0" applyNumberFormat="1" applyFont="1" applyFill="1" applyBorder="1" applyAlignment="1">
      <alignment horizontal="center" vertical="center"/>
    </xf>
    <xf numFmtId="177" fontId="9"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78" fontId="8" fillId="4" borderId="2" xfId="0" applyNumberFormat="1" applyFont="1" applyFill="1" applyBorder="1" applyAlignment="1">
      <alignment horizontal="center" vertical="center"/>
    </xf>
    <xf numFmtId="0" fontId="6" fillId="0" borderId="2" xfId="0" applyNumberFormat="1" applyFont="1" applyFill="1" applyBorder="1" applyAlignment="1">
      <alignment horizontal="left" vertical="center" wrapText="1"/>
    </xf>
    <xf numFmtId="0" fontId="8" fillId="3" borderId="2" xfId="0" applyNumberFormat="1" applyFont="1" applyFill="1" applyBorder="1" applyAlignment="1">
      <alignment horizontal="center" vertical="center"/>
    </xf>
    <xf numFmtId="177" fontId="8" fillId="3" borderId="2"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177" fontId="1" fillId="0" borderId="2" xfId="0" applyNumberFormat="1" applyFont="1" applyBorder="1">
      <alignment vertical="center"/>
    </xf>
    <xf numFmtId="177" fontId="6" fillId="0" borderId="2" xfId="0" applyNumberFormat="1" applyFont="1" applyFill="1" applyBorder="1" applyAlignment="1">
      <alignment horizontal="center" vertical="center" wrapText="1"/>
    </xf>
    <xf numFmtId="177" fontId="10" fillId="5" borderId="2" xfId="0" applyNumberFormat="1" applyFont="1" applyFill="1" applyBorder="1" applyAlignment="1">
      <alignment horizontal="center" vertical="center" wrapText="1"/>
    </xf>
    <xf numFmtId="10" fontId="10" fillId="4" borderId="2" xfId="3" applyNumberFormat="1" applyFont="1" applyFill="1" applyBorder="1" applyAlignment="1">
      <alignment horizontal="center" vertical="center" wrapText="1"/>
    </xf>
    <xf numFmtId="177" fontId="6" fillId="3" borderId="2" xfId="0" applyNumberFormat="1" applyFont="1" applyFill="1" applyBorder="1" applyAlignment="1">
      <alignment horizontal="center" vertical="center" wrapText="1"/>
    </xf>
    <xf numFmtId="177" fontId="10" fillId="3" borderId="2" xfId="0" applyNumberFormat="1" applyFont="1" applyFill="1" applyBorder="1" applyAlignment="1">
      <alignment horizontal="center" vertical="center" wrapText="1"/>
    </xf>
    <xf numFmtId="177" fontId="8" fillId="4" borderId="2" xfId="0" applyNumberFormat="1" applyFont="1" applyFill="1" applyBorder="1" applyAlignment="1">
      <alignment horizontal="center" vertical="center"/>
    </xf>
    <xf numFmtId="177" fontId="9" fillId="4" borderId="2" xfId="0" applyNumberFormat="1" applyFont="1" applyFill="1" applyBorder="1" applyAlignment="1">
      <alignment horizontal="center" vertical="center"/>
    </xf>
    <xf numFmtId="177" fontId="3" fillId="4" borderId="2" xfId="0" applyNumberFormat="1" applyFont="1" applyFill="1" applyBorder="1" applyAlignment="1">
      <alignment horizontal="center" vertical="center" wrapText="1"/>
    </xf>
    <xf numFmtId="177" fontId="8" fillId="4" borderId="2" xfId="0" applyNumberFormat="1" applyFont="1" applyFill="1" applyBorder="1" applyAlignment="1">
      <alignment horizontal="center" vertical="center" wrapText="1"/>
    </xf>
    <xf numFmtId="0" fontId="3" fillId="0" borderId="0" xfId="0" applyFont="1" applyAlignment="1">
      <alignment vertical="center" wrapText="1"/>
    </xf>
    <xf numFmtId="177" fontId="10" fillId="6" borderId="2" xfId="0" applyNumberFormat="1" applyFont="1" applyFill="1" applyBorder="1" applyAlignment="1">
      <alignment horizontal="center" vertical="center" wrapText="1"/>
    </xf>
    <xf numFmtId="0" fontId="3" fillId="0" borderId="0" xfId="0" applyFont="1" applyFill="1" applyAlignment="1">
      <alignment vertical="center" wrapText="1"/>
    </xf>
    <xf numFmtId="0" fontId="4" fillId="0" borderId="0" xfId="0" applyFont="1" applyAlignment="1">
      <alignment vertical="center" wrapText="1"/>
    </xf>
    <xf numFmtId="0" fontId="8" fillId="3" borderId="2" xfId="0" applyNumberFormat="1" applyFont="1" applyFill="1" applyBorder="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center"/>
    </xf>
    <xf numFmtId="0" fontId="1" fillId="0" borderId="0" xfId="0" applyFont="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11" fillId="0" borderId="0" xfId="0" applyFont="1" applyAlignment="1">
      <alignment vertical="center" wrapText="1"/>
    </xf>
    <xf numFmtId="0" fontId="11" fillId="0" borderId="0" xfId="0" applyFont="1">
      <alignment vertical="center"/>
    </xf>
    <xf numFmtId="0" fontId="11" fillId="0" borderId="0" xfId="0" applyFont="1" applyFill="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lignment vertical="center"/>
    </xf>
    <xf numFmtId="0" fontId="13" fillId="0" borderId="0" xfId="0" applyFont="1" applyFill="1" applyAlignment="1">
      <alignment vertical="center" wrapText="1"/>
    </xf>
    <xf numFmtId="0" fontId="14" fillId="0" borderId="0" xfId="0" applyFont="1" applyAlignment="1">
      <alignment vertical="center" wrapText="1"/>
    </xf>
    <xf numFmtId="0" fontId="4" fillId="0" borderId="2" xfId="0" applyFont="1" applyFill="1" applyBorder="1" applyAlignment="1">
      <alignment horizontal="left" vertical="center" wrapText="1"/>
    </xf>
    <xf numFmtId="0" fontId="1" fillId="0" borderId="2" xfId="0" applyFont="1" applyBorder="1">
      <alignment vertical="center"/>
    </xf>
    <xf numFmtId="0" fontId="3" fillId="0" borderId="2" xfId="0" applyFont="1" applyFill="1" applyBorder="1" applyAlignment="1">
      <alignment horizontal="left" vertical="center"/>
    </xf>
    <xf numFmtId="0" fontId="3" fillId="4" borderId="2" xfId="0" applyFont="1" applyFill="1" applyBorder="1" applyAlignment="1">
      <alignment horizontal="center" vertical="center"/>
    </xf>
    <xf numFmtId="0" fontId="3" fillId="0" borderId="2" xfId="0" applyFont="1" applyFill="1" applyBorder="1" applyAlignment="1">
      <alignment horizontal="center" vertical="center"/>
    </xf>
    <xf numFmtId="177" fontId="10" fillId="0" borderId="2" xfId="0" applyNumberFormat="1" applyFont="1" applyFill="1" applyBorder="1" applyAlignment="1">
      <alignment horizontal="center" vertical="center" wrapText="1"/>
    </xf>
    <xf numFmtId="177" fontId="3" fillId="4" borderId="2" xfId="0" applyNumberFormat="1" applyFont="1" applyFill="1" applyBorder="1" applyAlignment="1">
      <alignment horizontal="center" vertical="center"/>
    </xf>
    <xf numFmtId="0" fontId="15" fillId="0" borderId="2" xfId="0" applyNumberFormat="1" applyFont="1" applyFill="1" applyBorder="1" applyAlignment="1">
      <alignment wrapText="1"/>
    </xf>
    <xf numFmtId="0" fontId="3" fillId="0" borderId="2" xfId="0" applyFont="1" applyFill="1" applyBorder="1" applyAlignment="1"/>
    <xf numFmtId="0" fontId="14" fillId="0" borderId="0" xfId="0" applyFont="1">
      <alignment vertical="center"/>
    </xf>
    <xf numFmtId="0" fontId="4" fillId="4" borderId="2" xfId="0" applyFont="1" applyFill="1" applyBorder="1" applyAlignment="1">
      <alignment horizontal="center" vertical="center"/>
    </xf>
    <xf numFmtId="0" fontId="4" fillId="0" borderId="2" xfId="0" applyFont="1" applyFill="1" applyBorder="1" applyAlignment="1">
      <alignment horizontal="center" vertical="center"/>
    </xf>
    <xf numFmtId="0" fontId="15" fillId="0" borderId="2" xfId="0" applyFont="1" applyBorder="1" applyAlignment="1">
      <alignment vertical="center" wrapText="1"/>
    </xf>
    <xf numFmtId="0" fontId="1" fillId="3" borderId="2" xfId="0" applyFont="1" applyFill="1" applyBorder="1">
      <alignment vertical="center"/>
    </xf>
    <xf numFmtId="177" fontId="1" fillId="3" borderId="2" xfId="0" applyNumberFormat="1" applyFont="1" applyFill="1" applyBorder="1">
      <alignment vertical="center"/>
    </xf>
    <xf numFmtId="177" fontId="4" fillId="4" borderId="2" xfId="0" applyNumberFormat="1" applyFont="1" applyFill="1" applyBorder="1" applyAlignment="1">
      <alignment horizontal="center" vertical="center"/>
    </xf>
    <xf numFmtId="0" fontId="4" fillId="0" borderId="2" xfId="0" applyFont="1" applyFill="1" applyBorder="1" applyAlignment="1"/>
    <xf numFmtId="177" fontId="16" fillId="3" borderId="2" xfId="0" applyNumberFormat="1" applyFont="1" applyFill="1" applyBorder="1" applyAlignment="1">
      <alignment horizontal="center" vertical="center"/>
    </xf>
    <xf numFmtId="0" fontId="8" fillId="0" borderId="0" xfId="0" applyNumberFormat="1" applyFont="1" applyFill="1" applyAlignment="1">
      <alignment horizontal="left" vertical="center" wrapText="1"/>
    </xf>
    <xf numFmtId="0" fontId="4" fillId="0" borderId="0" xfId="0" applyFont="1" applyFill="1" applyAlignment="1">
      <alignment vertical="center" wrapText="1"/>
    </xf>
    <xf numFmtId="0" fontId="17" fillId="0" borderId="0" xfId="0" applyNumberFormat="1" applyFont="1" applyFill="1" applyAlignment="1">
      <alignment horizontal="left" vertical="center" wrapText="1"/>
    </xf>
    <xf numFmtId="0" fontId="18" fillId="0" borderId="0" xfId="0" applyNumberFormat="1" applyFont="1" applyFill="1" applyAlignment="1">
      <alignment horizontal="left" vertical="center" wrapText="1"/>
    </xf>
    <xf numFmtId="0" fontId="19" fillId="0" borderId="2" xfId="0" applyFont="1" applyFill="1" applyBorder="1" applyAlignment="1">
      <alignment horizontal="left" vertical="center"/>
    </xf>
    <xf numFmtId="177"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xf>
    <xf numFmtId="178" fontId="8" fillId="0" borderId="2" xfId="0" applyNumberFormat="1" applyFont="1" applyFill="1" applyBorder="1" applyAlignment="1">
      <alignment horizontal="center" vertical="center"/>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177" fontId="19" fillId="0" borderId="2" xfId="0" applyNumberFormat="1" applyFont="1" applyFill="1" applyBorder="1" applyAlignment="1">
      <alignment horizontal="center" vertical="center"/>
    </xf>
    <xf numFmtId="177" fontId="3" fillId="0" borderId="2" xfId="0" applyNumberFormat="1" applyFont="1" applyFill="1" applyBorder="1" applyAlignment="1"/>
    <xf numFmtId="177" fontId="6" fillId="0" borderId="2" xfId="0" applyNumberFormat="1" applyFont="1" applyFill="1" applyBorder="1" applyAlignment="1">
      <alignment horizontal="left" vertical="center"/>
    </xf>
    <xf numFmtId="177" fontId="8" fillId="4" borderId="2" xfId="59" applyNumberFormat="1" applyFont="1" applyFill="1" applyBorder="1" applyAlignment="1">
      <alignment horizontal="center" vertical="center" wrapText="1"/>
    </xf>
    <xf numFmtId="0" fontId="8" fillId="0" borderId="0" xfId="0" applyNumberFormat="1" applyFont="1" applyFill="1" applyAlignment="1"/>
    <xf numFmtId="0" fontId="8" fillId="0" borderId="0" xfId="0" applyNumberFormat="1" applyFont="1" applyFill="1" applyAlignment="1">
      <alignment wrapText="1"/>
    </xf>
    <xf numFmtId="0" fontId="3" fillId="0" borderId="0" xfId="0" applyFont="1" applyFill="1" applyAlignment="1">
      <alignment wrapText="1"/>
    </xf>
    <xf numFmtId="0" fontId="1" fillId="0" borderId="0" xfId="0" applyFont="1" applyFill="1" applyAlignment="1">
      <alignment horizontal="center"/>
    </xf>
    <xf numFmtId="0" fontId="1" fillId="0" borderId="0" xfId="0" applyFont="1" applyFill="1" applyAlignment="1">
      <alignment wrapText="1"/>
    </xf>
    <xf numFmtId="0" fontId="3" fillId="0" borderId="2" xfId="0" applyFont="1" applyFill="1" applyBorder="1" applyAlignment="1">
      <alignment vertical="center" wrapText="1"/>
    </xf>
    <xf numFmtId="0" fontId="1" fillId="0" borderId="2" xfId="0" applyFont="1" applyFill="1" applyBorder="1" applyAlignment="1"/>
    <xf numFmtId="0" fontId="8" fillId="0" borderId="2" xfId="60" applyFont="1" applyFill="1" applyBorder="1" applyAlignment="1">
      <alignment horizontal="left" vertical="center" wrapText="1"/>
    </xf>
    <xf numFmtId="0" fontId="6" fillId="0" borderId="2" xfId="0" applyFont="1" applyFill="1" applyBorder="1" applyAlignment="1">
      <alignment horizontal="left" vertical="center"/>
    </xf>
    <xf numFmtId="49" fontId="6" fillId="0" borderId="2" xfId="0" applyNumberFormat="1" applyFont="1" applyFill="1" applyBorder="1" applyAlignment="1">
      <alignment horizontal="center" vertical="center"/>
    </xf>
    <xf numFmtId="0" fontId="6" fillId="0" borderId="2" xfId="60" applyFont="1" applyFill="1" applyBorder="1" applyAlignment="1">
      <alignment horizontal="left" vertical="center" wrapText="1"/>
    </xf>
    <xf numFmtId="0" fontId="8" fillId="0" borderId="2" xfId="0" applyFont="1" applyFill="1" applyBorder="1" applyAlignment="1">
      <alignment horizontal="center" vertical="center"/>
    </xf>
    <xf numFmtId="49" fontId="8" fillId="0" borderId="2" xfId="0" applyNumberFormat="1" applyFont="1" applyFill="1" applyBorder="1" applyAlignment="1">
      <alignment horizontal="left" vertical="center"/>
    </xf>
    <xf numFmtId="49"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vertical="center" wrapText="1"/>
    </xf>
    <xf numFmtId="177" fontId="1" fillId="0" borderId="2" xfId="0" applyNumberFormat="1" applyFont="1" applyFill="1" applyBorder="1" applyAlignment="1"/>
    <xf numFmtId="177" fontId="16" fillId="0" borderId="2" xfId="0" applyNumberFormat="1" applyFont="1" applyFill="1" applyBorder="1" applyAlignment="1">
      <alignment horizontal="center" vertical="center"/>
    </xf>
    <xf numFmtId="0" fontId="1" fillId="0" borderId="2" xfId="0" applyFont="1" applyFill="1" applyBorder="1" applyAlignment="1">
      <alignment wrapText="1"/>
    </xf>
    <xf numFmtId="0" fontId="20" fillId="0" borderId="2" xfId="0" applyFont="1" applyBorder="1" applyAlignment="1">
      <alignment horizontal="center" vertical="center"/>
    </xf>
    <xf numFmtId="0" fontId="9" fillId="0" borderId="0" xfId="0" applyNumberFormat="1" applyFont="1" applyFill="1" applyAlignment="1">
      <alignment horizontal="left" vertical="center" wrapText="1"/>
    </xf>
    <xf numFmtId="0" fontId="8" fillId="0" borderId="0" xfId="0" applyNumberFormat="1" applyFont="1" applyFill="1" applyAlignment="1">
      <alignment vertical="center" wrapText="1"/>
    </xf>
    <xf numFmtId="177" fontId="16" fillId="0" borderId="2" xfId="0" applyNumberFormat="1" applyFont="1" applyBorder="1" applyAlignment="1">
      <alignment horizontal="center" vertical="center"/>
    </xf>
    <xf numFmtId="0" fontId="9" fillId="0" borderId="0" xfId="0" applyNumberFormat="1" applyFont="1" applyFill="1" applyAlignment="1">
      <alignment horizontal="center"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21" fillId="0" borderId="0" xfId="0" applyFont="1">
      <alignment vertical="center"/>
    </xf>
    <xf numFmtId="0" fontId="0" fillId="0" borderId="0" xfId="0" applyFont="1" applyFill="1">
      <alignment vertical="center"/>
    </xf>
    <xf numFmtId="0" fontId="22" fillId="0" borderId="3" xfId="0" applyNumberFormat="1" applyFont="1" applyFill="1" applyBorder="1" applyAlignment="1">
      <alignment horizontal="center" vertical="center"/>
    </xf>
    <xf numFmtId="0" fontId="23" fillId="0" borderId="0" xfId="0" applyNumberFormat="1" applyFont="1" applyFill="1" applyAlignment="1">
      <alignment horizontal="center" vertical="center"/>
    </xf>
    <xf numFmtId="0" fontId="24" fillId="0" borderId="3" xfId="0" applyNumberFormat="1" applyFont="1" applyFill="1" applyBorder="1" applyAlignment="1">
      <alignment horizontal="center" vertical="center"/>
    </xf>
    <xf numFmtId="0" fontId="24" fillId="0" borderId="3" xfId="0" applyNumberFormat="1" applyFont="1" applyFill="1" applyBorder="1" applyAlignment="1">
      <alignment horizontal="center" vertical="center" wrapText="1"/>
    </xf>
    <xf numFmtId="0" fontId="25" fillId="0" borderId="0" xfId="0" applyNumberFormat="1" applyFont="1" applyFill="1" applyAlignment="1">
      <alignment horizontal="center" vertical="center"/>
    </xf>
    <xf numFmtId="0" fontId="23" fillId="0" borderId="3" xfId="0" applyNumberFormat="1" applyFont="1" applyFill="1" applyBorder="1" applyAlignment="1">
      <alignment horizontal="center" vertical="center"/>
    </xf>
    <xf numFmtId="0" fontId="23" fillId="0" borderId="3" xfId="0" applyNumberFormat="1" applyFont="1" applyFill="1" applyBorder="1" applyAlignment="1">
      <alignment horizontal="left" vertical="center"/>
    </xf>
    <xf numFmtId="178" fontId="23" fillId="0" borderId="3" xfId="0" applyNumberFormat="1" applyFont="1" applyFill="1" applyBorder="1" applyAlignment="1">
      <alignment horizontal="right" vertical="center"/>
    </xf>
    <xf numFmtId="0" fontId="26" fillId="0" borderId="0" xfId="0" applyNumberFormat="1" applyFont="1" applyFill="1" applyAlignment="1">
      <alignment horizontal="center" vertical="center" wrapText="1"/>
    </xf>
    <xf numFmtId="0" fontId="27" fillId="0" borderId="3" xfId="0" applyNumberFormat="1" applyFont="1" applyFill="1" applyBorder="1" applyAlignment="1">
      <alignment horizontal="center" vertical="center"/>
    </xf>
    <xf numFmtId="0" fontId="27" fillId="0" borderId="3" xfId="0" applyNumberFormat="1" applyFont="1" applyFill="1" applyBorder="1" applyAlignment="1">
      <alignment horizontal="left" vertical="center"/>
    </xf>
    <xf numFmtId="178" fontId="27" fillId="0" borderId="3" xfId="0" applyNumberFormat="1" applyFont="1" applyFill="1" applyBorder="1" applyAlignment="1">
      <alignment horizontal="right" vertical="center"/>
    </xf>
    <xf numFmtId="0" fontId="28" fillId="0" borderId="0" xfId="53" applyFont="1" applyFill="1" applyBorder="1">
      <alignment vertical="center"/>
    </xf>
    <xf numFmtId="0" fontId="29" fillId="0" borderId="0" xfId="53" applyFont="1" applyFill="1">
      <alignment vertical="center"/>
    </xf>
    <xf numFmtId="0" fontId="29" fillId="0" borderId="0" xfId="53" applyFont="1" applyFill="1" applyBorder="1">
      <alignment vertical="center"/>
    </xf>
    <xf numFmtId="0" fontId="29" fillId="0" borderId="4" xfId="54" applyFont="1" applyFill="1" applyBorder="1" applyAlignment="1"/>
    <xf numFmtId="0" fontId="29" fillId="0" borderId="0" xfId="56" applyFont="1" applyFill="1"/>
    <xf numFmtId="0" fontId="29" fillId="0" borderId="0" xfId="57" applyFont="1" applyFill="1" applyBorder="1">
      <alignment vertical="center"/>
    </xf>
    <xf numFmtId="0" fontId="29" fillId="0" borderId="0" xfId="55" applyFont="1" applyFill="1" applyAlignment="1" applyProtection="1">
      <alignment horizontal="center" vertical="center"/>
    </xf>
    <xf numFmtId="0" fontId="30" fillId="0" borderId="0" xfId="55" applyFont="1" applyFill="1" applyAlignment="1" applyProtection="1">
      <alignment horizontal="center" vertical="center"/>
    </xf>
    <xf numFmtId="0" fontId="28" fillId="0" borderId="0" xfId="62" applyFont="1" applyFill="1" applyAlignment="1" applyProtection="1"/>
    <xf numFmtId="0" fontId="31" fillId="0" borderId="0" xfId="53" applyFont="1" applyFill="1" applyBorder="1">
      <alignment vertical="center"/>
    </xf>
    <xf numFmtId="49" fontId="32" fillId="0" borderId="5" xfId="63" applyNumberFormat="1" applyFont="1" applyFill="1" applyBorder="1" applyAlignment="1" applyProtection="1">
      <alignment horizontal="center" vertical="center"/>
    </xf>
    <xf numFmtId="0" fontId="33" fillId="0" borderId="0" xfId="53" applyFont="1" applyFill="1" applyBorder="1">
      <alignment vertical="center"/>
    </xf>
    <xf numFmtId="0" fontId="29" fillId="0" borderId="2" xfId="62" applyFont="1" applyFill="1" applyBorder="1" applyAlignment="1" applyProtection="1">
      <alignment horizontal="center" vertical="center"/>
    </xf>
    <xf numFmtId="49" fontId="30" fillId="0" borderId="6" xfId="63" applyNumberFormat="1" applyFont="1" applyFill="1" applyBorder="1" applyAlignment="1" applyProtection="1">
      <alignment horizontal="left" vertical="center"/>
    </xf>
    <xf numFmtId="49" fontId="30" fillId="0" borderId="7" xfId="63" applyNumberFormat="1" applyFont="1" applyFill="1" applyBorder="1" applyAlignment="1" applyProtection="1">
      <alignment horizontal="left" vertical="center"/>
    </xf>
    <xf numFmtId="0" fontId="34" fillId="0" borderId="0" xfId="53" applyFont="1" applyFill="1" applyBorder="1">
      <alignment vertical="center"/>
    </xf>
    <xf numFmtId="0" fontId="30" fillId="0" borderId="2" xfId="62" applyFont="1" applyFill="1" applyBorder="1" applyAlignment="1" applyProtection="1">
      <alignment horizontal="center" vertical="center"/>
    </xf>
    <xf numFmtId="178" fontId="30" fillId="0" borderId="2" xfId="63" applyNumberFormat="1" applyFont="1" applyFill="1" applyBorder="1" applyAlignment="1" applyProtection="1">
      <alignment horizontal="left" vertical="center"/>
    </xf>
    <xf numFmtId="0" fontId="35" fillId="0" borderId="2" xfId="62" applyFont="1" applyFill="1" applyBorder="1" applyAlignment="1" applyProtection="1">
      <alignment horizontal="center" vertical="center"/>
    </xf>
    <xf numFmtId="49" fontId="30" fillId="0" borderId="2" xfId="63" applyNumberFormat="1" applyFont="1" applyFill="1" applyBorder="1" applyAlignment="1" applyProtection="1">
      <alignment horizontal="left" vertical="center" wrapText="1"/>
    </xf>
    <xf numFmtId="49" fontId="29" fillId="0" borderId="2" xfId="63" applyNumberFormat="1" applyFont="1" applyFill="1" applyBorder="1" applyAlignment="1" applyProtection="1">
      <alignment horizontal="left" vertical="center" wrapText="1"/>
    </xf>
    <xf numFmtId="0" fontId="36" fillId="0" borderId="0" xfId="53" applyFont="1" applyFill="1" applyBorder="1">
      <alignment vertical="center"/>
    </xf>
    <xf numFmtId="0" fontId="34" fillId="0" borderId="0" xfId="53" applyFont="1" applyFill="1" applyBorder="1" applyProtection="1">
      <alignment vertical="center"/>
      <protection locked="0"/>
    </xf>
    <xf numFmtId="49" fontId="8" fillId="0" borderId="2" xfId="63" applyNumberFormat="1" applyFont="1" applyFill="1" applyBorder="1" applyAlignment="1">
      <alignment horizontal="left" vertical="center" wrapText="1"/>
    </xf>
    <xf numFmtId="0" fontId="34" fillId="0" borderId="4" xfId="54" applyFont="1" applyFill="1" applyBorder="1" applyAlignment="1"/>
    <xf numFmtId="0" fontId="8" fillId="0" borderId="2" xfId="53" applyFont="1" applyFill="1" applyBorder="1" applyAlignment="1">
      <alignment horizontal="left" vertical="center" wrapText="1"/>
    </xf>
    <xf numFmtId="0" fontId="8" fillId="0" borderId="6" xfId="53" applyFont="1" applyFill="1" applyBorder="1" applyAlignment="1">
      <alignment horizontal="left" vertical="center" wrapText="1"/>
    </xf>
    <xf numFmtId="0" fontId="8" fillId="0" borderId="7" xfId="53" applyFont="1" applyFill="1" applyBorder="1" applyAlignment="1">
      <alignment horizontal="left" vertical="center" wrapText="1"/>
    </xf>
    <xf numFmtId="0" fontId="34" fillId="0" borderId="0" xfId="56" applyFont="1" applyFill="1"/>
    <xf numFmtId="0" fontId="30" fillId="0" borderId="2" xfId="62" applyFont="1" applyFill="1" applyBorder="1" applyAlignment="1" applyProtection="1">
      <alignment horizontal="center" vertical="center" wrapText="1"/>
    </xf>
    <xf numFmtId="0" fontId="30" fillId="0" borderId="8" xfId="62" applyFont="1" applyFill="1" applyBorder="1" applyAlignment="1" applyProtection="1">
      <alignment horizontal="center" vertical="center" wrapText="1"/>
    </xf>
    <xf numFmtId="0" fontId="8" fillId="0" borderId="2" xfId="63" applyFont="1" applyFill="1" applyBorder="1" applyAlignment="1">
      <alignment horizontal="left" vertical="center" wrapText="1"/>
    </xf>
    <xf numFmtId="0" fontId="34" fillId="0" borderId="0" xfId="57" applyFont="1" applyFill="1" applyBorder="1">
      <alignment vertical="center"/>
    </xf>
    <xf numFmtId="0" fontId="30" fillId="0" borderId="9" xfId="62" applyFont="1" applyFill="1" applyBorder="1" applyAlignment="1" applyProtection="1">
      <alignment horizontal="center" vertical="center" wrapText="1"/>
    </xf>
    <xf numFmtId="0" fontId="30" fillId="0" borderId="10" xfId="62" applyFont="1" applyFill="1" applyBorder="1" applyAlignment="1" applyProtection="1">
      <alignment horizontal="center" vertical="center" wrapText="1"/>
    </xf>
    <xf numFmtId="0" fontId="8" fillId="0" borderId="0" xfId="0" applyFont="1" applyFill="1" applyBorder="1" applyAlignment="1"/>
    <xf numFmtId="0" fontId="8" fillId="7" borderId="0" xfId="0" applyFont="1" applyFill="1" applyBorder="1" applyAlignment="1"/>
    <xf numFmtId="49" fontId="37" fillId="7" borderId="0" xfId="0" applyNumberFormat="1" applyFont="1" applyFill="1" applyBorder="1" applyAlignment="1">
      <alignment horizontal="center" vertical="center"/>
    </xf>
    <xf numFmtId="49" fontId="38" fillId="7" borderId="5" xfId="0" applyNumberFormat="1" applyFont="1" applyFill="1" applyBorder="1" applyAlignment="1">
      <alignment horizontal="center" wrapText="1"/>
    </xf>
    <xf numFmtId="0" fontId="39" fillId="7" borderId="5" xfId="0" applyFont="1" applyFill="1" applyBorder="1" applyAlignment="1"/>
    <xf numFmtId="49" fontId="39" fillId="7" borderId="5" xfId="0" applyNumberFormat="1" applyFont="1" applyFill="1" applyBorder="1" applyAlignment="1">
      <alignment horizontal="center" vertical="center"/>
    </xf>
    <xf numFmtId="49" fontId="38" fillId="7" borderId="0" xfId="0" applyNumberFormat="1" applyFont="1" applyFill="1" applyBorder="1" applyAlignment="1">
      <alignment horizontal="left"/>
    </xf>
    <xf numFmtId="49" fontId="40" fillId="7" borderId="0" xfId="0" applyNumberFormat="1" applyFont="1" applyFill="1" applyBorder="1" applyAlignment="1">
      <alignment horizontal="center" vertical="center"/>
    </xf>
    <xf numFmtId="49" fontId="41" fillId="7" borderId="0" xfId="0" applyNumberFormat="1" applyFont="1" applyFill="1" applyBorder="1" applyAlignment="1">
      <alignment horizontal="center" vertical="center"/>
    </xf>
    <xf numFmtId="0" fontId="42" fillId="7" borderId="0" xfId="0" applyFont="1" applyFill="1" applyBorder="1" applyAlignment="1">
      <alignment horizontal="right"/>
    </xf>
    <xf numFmtId="0" fontId="7" fillId="7" borderId="0" xfId="0" applyFont="1" applyFill="1" applyBorder="1" applyAlignment="1">
      <alignment horizontal="right"/>
    </xf>
    <xf numFmtId="0" fontId="43" fillId="7" borderId="5" xfId="0" applyFont="1" applyFill="1" applyBorder="1" applyAlignment="1">
      <alignment wrapText="1"/>
    </xf>
    <xf numFmtId="0" fontId="44" fillId="7" borderId="5" xfId="0" applyFont="1" applyFill="1" applyBorder="1" applyAlignment="1"/>
    <xf numFmtId="0" fontId="6" fillId="7" borderId="0" xfId="0" applyFont="1" applyFill="1" applyBorder="1" applyAlignment="1">
      <alignment horizontal="right"/>
    </xf>
    <xf numFmtId="49" fontId="42" fillId="7" borderId="0" xfId="0" applyNumberFormat="1" applyFont="1" applyFill="1" applyBorder="1" applyAlignment="1">
      <alignment horizontal="right" vertical="center"/>
    </xf>
    <xf numFmtId="0" fontId="8" fillId="7" borderId="0" xfId="0" applyFont="1" applyFill="1" applyBorder="1" applyAlignment="1">
      <alignment horizontal="right"/>
    </xf>
    <xf numFmtId="49" fontId="45" fillId="7" borderId="0" xfId="0" applyNumberFormat="1" applyFont="1" applyFill="1" applyBorder="1" applyAlignment="1">
      <alignment horizontal="center" vertical="center"/>
    </xf>
    <xf numFmtId="178" fontId="43" fillId="7" borderId="5" xfId="0" applyNumberFormat="1" applyFont="1" applyFill="1" applyBorder="1" applyAlignment="1">
      <alignment horizontal="left"/>
    </xf>
    <xf numFmtId="178" fontId="8" fillId="7" borderId="5" xfId="0" applyNumberFormat="1" applyFont="1" applyFill="1" applyBorder="1" applyAlignment="1"/>
    <xf numFmtId="179" fontId="43" fillId="7" borderId="5" xfId="0" applyNumberFormat="1" applyFont="1" applyFill="1" applyBorder="1" applyAlignment="1">
      <alignment horizontal="left" wrapText="1"/>
    </xf>
    <xf numFmtId="179" fontId="8" fillId="7" borderId="5" xfId="0" applyNumberFormat="1" applyFont="1" applyFill="1" applyBorder="1" applyAlignment="1"/>
    <xf numFmtId="49" fontId="43" fillId="7" borderId="5" xfId="0" applyNumberFormat="1" applyFont="1" applyFill="1" applyBorder="1" applyAlignment="1">
      <alignment horizontal="left" wrapText="1"/>
    </xf>
    <xf numFmtId="0" fontId="8" fillId="7" borderId="5" xfId="0" applyFont="1" applyFill="1" applyBorder="1" applyAlignment="1">
      <alignment horizontal="left"/>
    </xf>
    <xf numFmtId="49" fontId="7" fillId="7" borderId="5" xfId="0" applyNumberFormat="1" applyFont="1" applyFill="1" applyBorder="1" applyAlignment="1">
      <alignment horizontal="left" vertical="center"/>
    </xf>
    <xf numFmtId="49" fontId="44" fillId="7" borderId="5" xfId="0" applyNumberFormat="1" applyFont="1" applyFill="1" applyBorder="1" applyAlignment="1">
      <alignment horizontal="left" wrapText="1"/>
    </xf>
    <xf numFmtId="49" fontId="42" fillId="7" borderId="0" xfId="0" applyNumberFormat="1" applyFont="1" applyFill="1" applyBorder="1" applyAlignment="1">
      <alignment horizontal="left" vertical="center"/>
    </xf>
    <xf numFmtId="49" fontId="8" fillId="7" borderId="5" xfId="0" applyNumberFormat="1" applyFont="1" applyFill="1" applyBorder="1" applyAlignment="1">
      <alignment horizontal="left"/>
    </xf>
    <xf numFmtId="49" fontId="8" fillId="7" borderId="5" xfId="0" applyNumberFormat="1" applyFont="1" applyFill="1" applyBorder="1" applyAlignment="1">
      <alignment horizontal="left" vertical="center"/>
    </xf>
    <xf numFmtId="0" fontId="46" fillId="7" borderId="0" xfId="0" applyFont="1" applyFill="1" applyBorder="1" applyAlignment="1">
      <alignment horizontal="center"/>
    </xf>
    <xf numFmtId="0" fontId="8" fillId="7" borderId="0" xfId="0" applyFont="1" applyFill="1" applyBorder="1" applyAlignment="1">
      <alignment horizontal="center"/>
    </xf>
    <xf numFmtId="49" fontId="42" fillId="7" borderId="0" xfId="0" applyNumberFormat="1" applyFont="1" applyFill="1" applyBorder="1" applyAlignment="1">
      <alignment horizontal="center" vertical="center"/>
    </xf>
    <xf numFmtId="49" fontId="8" fillId="7" borderId="0" xfId="0" applyNumberFormat="1" applyFont="1" applyFill="1" applyBorder="1" applyAlignment="1">
      <alignment horizontal="center" vertical="center"/>
    </xf>
    <xf numFmtId="49" fontId="43" fillId="7" borderId="0" xfId="0" applyNumberFormat="1" applyFont="1" applyFill="1" applyBorder="1" applyAlignment="1">
      <alignment horizontal="left" vertical="center"/>
    </xf>
    <xf numFmtId="0" fontId="8" fillId="7" borderId="0" xfId="0" applyFont="1" applyFill="1" applyBorder="1" applyAlignment="1">
      <alignment horizontal="left"/>
    </xf>
    <xf numFmtId="49" fontId="7" fillId="7" borderId="0" xfId="0" applyNumberFormat="1" applyFont="1" applyFill="1" applyBorder="1" applyAlignment="1">
      <alignment horizontal="right" vertical="center"/>
    </xf>
    <xf numFmtId="49" fontId="44" fillId="7" borderId="0" xfId="0" applyNumberFormat="1" applyFont="1" applyFill="1" applyBorder="1" applyAlignment="1">
      <alignment horizontal="center" vertical="center"/>
    </xf>
    <xf numFmtId="0" fontId="43" fillId="7" borderId="0" xfId="0" applyFont="1" applyFill="1" applyBorder="1" applyAlignment="1"/>
    <xf numFmtId="0" fontId="29" fillId="0" borderId="2" xfId="62" applyFont="1" applyFill="1" applyBorder="1" applyAlignment="1" applyProtection="1" quotePrefix="1">
      <alignment horizontal="center" vertical="center"/>
    </xf>
    <xf numFmtId="0" fontId="30" fillId="0" borderId="2" xfId="62" applyFont="1" applyFill="1" applyBorder="1" applyAlignment="1" applyProtection="1" quotePrefix="1">
      <alignment horizontal="center" vertical="center"/>
    </xf>
    <xf numFmtId="0" fontId="35" fillId="0" borderId="2" xfId="62" applyFont="1" applyFill="1" applyBorder="1" applyAlignment="1" applyProtection="1" quotePrefix="1">
      <alignment horizontal="center" vertical="center"/>
    </xf>
    <xf numFmtId="0" fontId="30" fillId="0" borderId="2" xfId="62" applyFont="1" applyFill="1" applyBorder="1" applyAlignment="1" applyProtection="1" quotePrefix="1">
      <alignment horizontal="center" vertical="center" wrapText="1"/>
    </xf>
    <xf numFmtId="0" fontId="30" fillId="0" borderId="8" xfId="62" applyFont="1" applyFill="1" applyBorder="1" applyAlignment="1" applyProtection="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工程项目投标总价表(全部含变更) 2" xfId="49"/>
    <cellStyle name="常规 2 3 2 2_招标清单封面" xfId="50"/>
    <cellStyle name="常规_20100327东部曦城一卡通系统配置底价表（东陆）" xfId="51"/>
    <cellStyle name="常规_郡原A地段景观工程清单2010322 （底无安装）" xfId="52"/>
    <cellStyle name="常规 15 2 2 2" xfId="53"/>
    <cellStyle name="常规 2 2 5" xfId="54"/>
    <cellStyle name="常规 17 2" xfId="55"/>
    <cellStyle name="常规_高尔夫四期1标段精装修招标清单" xfId="56"/>
    <cellStyle name="常规 16 2" xfId="57"/>
    <cellStyle name="常规 15 5" xfId="58"/>
    <cellStyle name="常规_底价.中海 银坑项目0111" xfId="59"/>
    <cellStyle name="常规 2" xfId="60"/>
    <cellStyle name="常规 20" xfId="61"/>
    <cellStyle name="?餑_x000c_睨_x0017__x000d_帼U_x0001_0_x0005_j'_x0007__x0001__x0001_ 5" xfId="62"/>
    <cellStyle name="常规_万科四季花城5A（D1-15）水电清单 2" xfId="63"/>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57150</xdr:colOff>
      <xdr:row>0</xdr:row>
      <xdr:rowOff>0</xdr:rowOff>
    </xdr:from>
    <xdr:to>
      <xdr:col>2</xdr:col>
      <xdr:colOff>656590</xdr:colOff>
      <xdr:row>0</xdr:row>
      <xdr:rowOff>8890</xdr:rowOff>
    </xdr:to>
    <xdr:pic>
      <xdr:nvPicPr>
        <xdr:cNvPr id="2" name="图片 1" descr="复件 信业组合"/>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 y="0"/>
          <a:ext cx="168592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0</xdr:rowOff>
    </xdr:from>
    <xdr:to>
      <xdr:col>2</xdr:col>
      <xdr:colOff>656590</xdr:colOff>
      <xdr:row>0</xdr:row>
      <xdr:rowOff>8890</xdr:rowOff>
    </xdr:to>
    <xdr:pic>
      <xdr:nvPicPr>
        <xdr:cNvPr id="3" name="图片 1" descr="复件 信业组合"/>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 y="0"/>
          <a:ext cx="168592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0</xdr:rowOff>
    </xdr:from>
    <xdr:to>
      <xdr:col>2</xdr:col>
      <xdr:colOff>656590</xdr:colOff>
      <xdr:row>0</xdr:row>
      <xdr:rowOff>8890</xdr:rowOff>
    </xdr:to>
    <xdr:pic>
      <xdr:nvPicPr>
        <xdr:cNvPr id="4" name="图片 3" descr="复件 信业组合"/>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 y="0"/>
          <a:ext cx="168592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0</xdr:rowOff>
    </xdr:from>
    <xdr:to>
      <xdr:col>2</xdr:col>
      <xdr:colOff>656590</xdr:colOff>
      <xdr:row>0</xdr:row>
      <xdr:rowOff>8890</xdr:rowOff>
    </xdr:to>
    <xdr:pic>
      <xdr:nvPicPr>
        <xdr:cNvPr id="5" name="图片 1" descr="复件 信业组合"/>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 y="0"/>
          <a:ext cx="168592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0</xdr:rowOff>
    </xdr:from>
    <xdr:to>
      <xdr:col>2</xdr:col>
      <xdr:colOff>656590</xdr:colOff>
      <xdr:row>0</xdr:row>
      <xdr:rowOff>8890</xdr:rowOff>
    </xdr:to>
    <xdr:pic>
      <xdr:nvPicPr>
        <xdr:cNvPr id="6" name="图片 5" descr="复件 信业组合"/>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 y="0"/>
          <a:ext cx="168592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0</xdr:rowOff>
    </xdr:from>
    <xdr:to>
      <xdr:col>2</xdr:col>
      <xdr:colOff>656590</xdr:colOff>
      <xdr:row>0</xdr:row>
      <xdr:rowOff>8890</xdr:rowOff>
    </xdr:to>
    <xdr:pic>
      <xdr:nvPicPr>
        <xdr:cNvPr id="7" name="图片 1" descr="复件 信业组合"/>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 y="0"/>
          <a:ext cx="168592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0</xdr:rowOff>
    </xdr:from>
    <xdr:to>
      <xdr:col>2</xdr:col>
      <xdr:colOff>656590</xdr:colOff>
      <xdr:row>0</xdr:row>
      <xdr:rowOff>8890</xdr:rowOff>
    </xdr:to>
    <xdr:pic>
      <xdr:nvPicPr>
        <xdr:cNvPr id="8" name="图片 7" descr="复件 信业组合"/>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 y="0"/>
          <a:ext cx="168592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0</xdr:rowOff>
    </xdr:from>
    <xdr:to>
      <xdr:col>2</xdr:col>
      <xdr:colOff>656590</xdr:colOff>
      <xdr:row>0</xdr:row>
      <xdr:rowOff>8890</xdr:rowOff>
    </xdr:to>
    <xdr:pic>
      <xdr:nvPicPr>
        <xdr:cNvPr id="9" name="图片 1" descr="复件 信业组合"/>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57150" y="0"/>
          <a:ext cx="1685925"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42"/>
  <sheetViews>
    <sheetView tabSelected="1" view="pageBreakPreview" zoomScaleNormal="70" workbookViewId="0">
      <selection activeCell="C34" sqref="C34:E34"/>
    </sheetView>
  </sheetViews>
  <sheetFormatPr defaultColWidth="8.65833333333333" defaultRowHeight="14.25" customHeight="1"/>
  <cols>
    <col min="1" max="1" width="13.0333333333333" style="174"/>
    <col min="2" max="3" width="7.33333333333333" style="174"/>
    <col min="4" max="4" width="7.74166666666667" style="174"/>
    <col min="5" max="5" width="14.5083333333333" style="174"/>
    <col min="6" max="6" width="20.3666666666667" style="174"/>
    <col min="7" max="7" width="7.33333333333333" style="174"/>
    <col min="8" max="8" width="7.74166666666667" style="174"/>
    <col min="9" max="9" width="13.2833333333333" style="174"/>
    <col min="10" max="16384" width="8.65833333333333" style="174"/>
  </cols>
  <sheetData>
    <row r="1" s="174" customFormat="1" ht="13.5" customHeight="1" spans="1:9">
      <c r="A1" s="175"/>
      <c r="B1" s="175"/>
      <c r="C1" s="175"/>
      <c r="D1" s="175"/>
      <c r="E1" s="175"/>
      <c r="F1" s="175"/>
      <c r="G1" s="175"/>
      <c r="H1" s="175"/>
      <c r="I1" s="175"/>
    </row>
    <row r="2" s="174" customFormat="1" ht="65.25" customHeight="1" spans="1:9">
      <c r="A2" s="176"/>
      <c r="B2" s="177" t="s">
        <v>0</v>
      </c>
      <c r="C2" s="178"/>
      <c r="D2" s="179"/>
      <c r="E2" s="178"/>
      <c r="F2" s="178"/>
      <c r="G2" s="178"/>
      <c r="H2" s="180" t="s">
        <v>1</v>
      </c>
      <c r="I2" s="175"/>
    </row>
    <row r="3" s="174" customFormat="1" ht="13.5" customHeight="1" spans="1:9">
      <c r="A3" s="175"/>
      <c r="B3" s="175"/>
      <c r="C3" s="175"/>
      <c r="D3" s="175"/>
      <c r="E3" s="175"/>
      <c r="F3" s="175"/>
      <c r="G3" s="175"/>
      <c r="H3" s="175"/>
      <c r="I3" s="175"/>
    </row>
    <row r="4" s="174" customFormat="1" ht="13.5" customHeight="1" spans="1:9">
      <c r="A4" s="175"/>
      <c r="B4" s="175"/>
      <c r="C4" s="175"/>
      <c r="D4" s="175"/>
      <c r="E4" s="175"/>
      <c r="F4" s="175"/>
      <c r="G4" s="175"/>
      <c r="H4" s="175"/>
      <c r="I4" s="175"/>
    </row>
    <row r="5" s="174" customFormat="1" ht="13.5" customHeight="1" spans="1:9">
      <c r="A5" s="175"/>
      <c r="B5" s="175"/>
      <c r="C5" s="175"/>
      <c r="D5" s="175"/>
      <c r="E5" s="175"/>
      <c r="F5" s="175"/>
      <c r="G5" s="175"/>
      <c r="H5" s="175"/>
      <c r="I5" s="175"/>
    </row>
    <row r="6" s="174" customFormat="1" ht="45.75" customHeight="1" spans="1:9">
      <c r="A6" s="181"/>
      <c r="B6" s="182" t="s">
        <v>2</v>
      </c>
      <c r="C6" s="175"/>
      <c r="D6" s="175"/>
      <c r="E6" s="175"/>
      <c r="F6" s="175"/>
      <c r="G6" s="175"/>
      <c r="H6" s="175"/>
      <c r="I6" s="175"/>
    </row>
    <row r="7" s="174" customFormat="1" ht="13.5" customHeight="1" spans="1:9">
      <c r="A7" s="175"/>
      <c r="B7" s="175"/>
      <c r="C7" s="175"/>
      <c r="D7" s="175"/>
      <c r="E7" s="175"/>
      <c r="F7" s="175"/>
      <c r="G7" s="175"/>
      <c r="H7" s="175"/>
      <c r="I7" s="175"/>
    </row>
    <row r="8" s="174" customFormat="1" ht="13.5" customHeight="1" spans="1:9">
      <c r="A8" s="175"/>
      <c r="B8" s="175"/>
      <c r="C8" s="175"/>
      <c r="D8" s="175"/>
      <c r="E8" s="175"/>
      <c r="F8" s="175"/>
      <c r="G8" s="175"/>
      <c r="H8" s="175"/>
      <c r="I8" s="175"/>
    </row>
    <row r="9" s="174" customFormat="1" ht="45" customHeight="1" spans="1:9">
      <c r="A9" s="183" t="s">
        <v>3</v>
      </c>
      <c r="B9" s="184"/>
      <c r="C9" s="185" t="s">
        <v>4</v>
      </c>
      <c r="D9" s="186"/>
      <c r="E9" s="186"/>
      <c r="F9" s="186"/>
      <c r="G9" s="186"/>
      <c r="H9" s="186"/>
      <c r="I9" s="175"/>
    </row>
    <row r="10" s="174" customFormat="1" ht="45" customHeight="1" spans="1:9">
      <c r="A10" s="183" t="s">
        <v>5</v>
      </c>
      <c r="B10" s="187"/>
      <c r="C10" s="185" t="s">
        <v>6</v>
      </c>
      <c r="D10" s="186"/>
      <c r="E10" s="186"/>
      <c r="F10" s="186"/>
      <c r="G10" s="186"/>
      <c r="H10" s="186"/>
      <c r="I10" s="175"/>
    </row>
    <row r="11" s="174" customFormat="1" ht="20.25" customHeight="1" spans="1:9">
      <c r="A11" s="184"/>
      <c r="B11" s="187"/>
      <c r="C11" s="175"/>
      <c r="D11" s="175"/>
      <c r="E11" s="175"/>
      <c r="F11" s="175"/>
      <c r="G11" s="175"/>
      <c r="H11" s="175"/>
      <c r="I11" s="175"/>
    </row>
    <row r="12" s="174" customFormat="1" ht="20.25" customHeight="1" spans="1:9">
      <c r="A12" s="188" t="s">
        <v>7</v>
      </c>
      <c r="B12" s="189"/>
      <c r="C12" s="190" t="s">
        <v>8</v>
      </c>
      <c r="D12" s="191">
        <f>一期造价汇总!D21</f>
        <v>0</v>
      </c>
      <c r="E12" s="192"/>
      <c r="F12" s="192"/>
      <c r="G12" s="192"/>
      <c r="H12" s="192"/>
      <c r="I12" s="175"/>
    </row>
    <row r="13" s="174" customFormat="1" ht="13.5" customHeight="1" spans="1:9">
      <c r="A13" s="175"/>
      <c r="B13" s="175"/>
      <c r="C13" s="175"/>
      <c r="D13" s="175"/>
      <c r="E13" s="175"/>
      <c r="F13" s="175"/>
      <c r="G13" s="175"/>
      <c r="H13" s="175"/>
      <c r="I13" s="175"/>
    </row>
    <row r="14" s="174" customFormat="1" ht="19.5" customHeight="1" spans="1:9">
      <c r="A14" s="175"/>
      <c r="B14" s="175"/>
      <c r="C14" s="175"/>
      <c r="D14" s="193">
        <f>D12</f>
        <v>0</v>
      </c>
      <c r="E14" s="194"/>
      <c r="F14" s="194"/>
      <c r="G14" s="194"/>
      <c r="H14" s="194"/>
      <c r="I14" s="175"/>
    </row>
    <row r="15" s="174" customFormat="1" ht="19.5" customHeight="1" spans="1:9">
      <c r="A15" s="175"/>
      <c r="B15" s="175"/>
      <c r="C15" s="190" t="s">
        <v>9</v>
      </c>
      <c r="D15" s="194"/>
      <c r="E15" s="194"/>
      <c r="F15" s="194"/>
      <c r="G15" s="194"/>
      <c r="H15" s="194"/>
      <c r="I15" s="175"/>
    </row>
    <row r="16" s="174" customFormat="1" ht="13.5" customHeight="1" spans="1:9">
      <c r="A16" s="175"/>
      <c r="B16" s="175"/>
      <c r="C16" s="175"/>
      <c r="D16" s="175"/>
      <c r="E16" s="175"/>
      <c r="F16" s="175"/>
      <c r="G16" s="175"/>
      <c r="H16" s="175"/>
      <c r="I16" s="175"/>
    </row>
    <row r="17" s="174" customFormat="1" ht="13.5" customHeight="1" spans="1:9">
      <c r="A17" s="175"/>
      <c r="B17" s="175"/>
      <c r="C17" s="175"/>
      <c r="D17" s="175"/>
      <c r="E17" s="175"/>
      <c r="F17" s="175"/>
      <c r="G17" s="175"/>
      <c r="H17" s="175"/>
      <c r="I17" s="175"/>
    </row>
    <row r="18" s="174" customFormat="1" ht="19.5" customHeight="1" spans="1:9">
      <c r="A18" s="175"/>
      <c r="B18" s="175"/>
      <c r="C18" s="195"/>
      <c r="D18" s="196"/>
      <c r="E18" s="196"/>
      <c r="F18" s="197"/>
      <c r="G18" s="198"/>
      <c r="H18" s="196"/>
      <c r="I18" s="207"/>
    </row>
    <row r="19" s="174" customFormat="1" ht="20.25" customHeight="1" spans="1:9">
      <c r="A19" s="199" t="s">
        <v>10</v>
      </c>
      <c r="B19" s="175"/>
      <c r="C19" s="200"/>
      <c r="D19" s="196"/>
      <c r="E19" s="196"/>
      <c r="F19" s="197"/>
      <c r="G19" s="201"/>
      <c r="H19" s="196"/>
      <c r="I19" s="207"/>
    </row>
    <row r="20" s="174" customFormat="1" ht="13.5" customHeight="1" spans="1:9">
      <c r="A20" s="175"/>
      <c r="B20" s="175"/>
      <c r="C20" s="202" t="s">
        <v>11</v>
      </c>
      <c r="D20" s="203"/>
      <c r="E20" s="203"/>
      <c r="F20" s="203"/>
      <c r="G20" s="203"/>
      <c r="H20" s="203"/>
      <c r="I20" s="175"/>
    </row>
    <row r="21" s="174" customFormat="1" ht="13.5" customHeight="1" spans="1:9">
      <c r="A21" s="175"/>
      <c r="B21" s="175"/>
      <c r="C21" s="175"/>
      <c r="D21" s="175"/>
      <c r="E21" s="175"/>
      <c r="F21" s="175"/>
      <c r="G21" s="175"/>
      <c r="H21" s="175"/>
      <c r="I21" s="175"/>
    </row>
    <row r="22" s="174" customFormat="1" ht="13.5" customHeight="1" spans="1:9">
      <c r="A22" s="175"/>
      <c r="B22" s="175"/>
      <c r="C22" s="175"/>
      <c r="D22" s="175"/>
      <c r="E22" s="175"/>
      <c r="F22" s="175"/>
      <c r="G22" s="175"/>
      <c r="H22" s="175"/>
      <c r="I22" s="175"/>
    </row>
    <row r="23" s="174" customFormat="1" ht="19.5" customHeight="1" spans="1:9">
      <c r="A23" s="204" t="s">
        <v>12</v>
      </c>
      <c r="B23" s="175"/>
      <c r="C23" s="195"/>
      <c r="D23" s="196"/>
      <c r="E23" s="196"/>
      <c r="F23" s="197"/>
      <c r="G23" s="198"/>
      <c r="H23" s="196"/>
      <c r="I23" s="175"/>
    </row>
    <row r="24" s="174" customFormat="1" ht="18.75" customHeight="1" spans="1:9">
      <c r="A24" s="188" t="s">
        <v>13</v>
      </c>
      <c r="B24" s="205"/>
      <c r="C24" s="200"/>
      <c r="D24" s="196"/>
      <c r="E24" s="196"/>
      <c r="F24" s="197"/>
      <c r="G24" s="196"/>
      <c r="H24" s="196"/>
      <c r="I24" s="175"/>
    </row>
    <row r="25" s="174" customFormat="1" ht="13.5" customHeight="1" spans="1:9">
      <c r="A25" s="175"/>
      <c r="B25" s="175"/>
      <c r="C25" s="202" t="s">
        <v>14</v>
      </c>
      <c r="D25" s="203"/>
      <c r="E25" s="203"/>
      <c r="F25" s="203"/>
      <c r="G25" s="203"/>
      <c r="H25" s="203"/>
      <c r="I25" s="175"/>
    </row>
    <row r="26" s="174" customFormat="1" ht="13.5" customHeight="1" spans="1:9">
      <c r="A26" s="175"/>
      <c r="B26" s="175"/>
      <c r="C26" s="175"/>
      <c r="D26" s="175"/>
      <c r="E26" s="175"/>
      <c r="F26" s="175"/>
      <c r="G26" s="175"/>
      <c r="H26" s="175"/>
      <c r="I26" s="175"/>
    </row>
    <row r="27" s="174" customFormat="1" ht="13.5" customHeight="1" spans="1:9">
      <c r="A27" s="175"/>
      <c r="B27" s="175"/>
      <c r="C27" s="175"/>
      <c r="D27" s="175"/>
      <c r="E27" s="175"/>
      <c r="F27" s="175"/>
      <c r="G27" s="175"/>
      <c r="H27" s="175"/>
      <c r="I27" s="175"/>
    </row>
    <row r="28" s="174" customFormat="1" ht="19.5" customHeight="1" spans="1:9">
      <c r="A28" s="175"/>
      <c r="B28" s="175"/>
      <c r="C28" s="195"/>
      <c r="D28" s="196"/>
      <c r="E28" s="196"/>
      <c r="F28" s="196"/>
      <c r="G28" s="198"/>
      <c r="H28" s="200"/>
      <c r="I28" s="175"/>
    </row>
    <row r="29" s="174" customFormat="1" ht="19.5" customHeight="1" spans="1:9">
      <c r="A29" s="188" t="s">
        <v>15</v>
      </c>
      <c r="B29" s="175"/>
      <c r="C29" s="196"/>
      <c r="D29" s="196"/>
      <c r="E29" s="196"/>
      <c r="F29" s="197"/>
      <c r="G29" s="196"/>
      <c r="H29" s="196"/>
      <c r="I29" s="175"/>
    </row>
    <row r="30" s="174" customFormat="1" ht="13.5" customHeight="1" spans="1:9">
      <c r="A30" s="175"/>
      <c r="B30" s="175"/>
      <c r="C30" s="202" t="s">
        <v>16</v>
      </c>
      <c r="D30" s="203"/>
      <c r="E30" s="203"/>
      <c r="F30" s="203"/>
      <c r="G30" s="203"/>
      <c r="H30" s="203"/>
      <c r="I30" s="175"/>
    </row>
    <row r="31" s="174" customFormat="1" ht="13.5" customHeight="1" spans="1:9">
      <c r="A31" s="175"/>
      <c r="B31" s="175"/>
      <c r="C31" s="175"/>
      <c r="D31" s="175"/>
      <c r="E31" s="175"/>
      <c r="F31" s="175"/>
      <c r="G31" s="175"/>
      <c r="H31" s="175"/>
      <c r="I31" s="175"/>
    </row>
    <row r="32" s="174" customFormat="1" ht="13.5" customHeight="1" spans="1:9">
      <c r="A32" s="175"/>
      <c r="B32" s="175"/>
      <c r="C32" s="175"/>
      <c r="D32" s="175"/>
      <c r="E32" s="175"/>
      <c r="F32" s="175"/>
      <c r="G32" s="175"/>
      <c r="H32" s="175"/>
      <c r="I32" s="175"/>
    </row>
    <row r="33" s="174" customFormat="1" ht="13.5" customHeight="1" spans="1:9">
      <c r="A33" s="175"/>
      <c r="B33" s="175"/>
      <c r="C33" s="175"/>
      <c r="D33" s="175"/>
      <c r="E33" s="175"/>
      <c r="F33" s="175"/>
      <c r="G33" s="175"/>
      <c r="H33" s="175"/>
      <c r="I33" s="175"/>
    </row>
    <row r="34" s="174" customFormat="1" ht="21" customHeight="1" spans="1:9">
      <c r="A34" s="188" t="s">
        <v>17</v>
      </c>
      <c r="B34" s="189"/>
      <c r="C34" s="206" t="s">
        <v>18</v>
      </c>
      <c r="D34" s="207"/>
      <c r="E34" s="207"/>
      <c r="F34" s="208"/>
      <c r="G34" s="209"/>
      <c r="H34" s="175"/>
      <c r="I34" s="175"/>
    </row>
    <row r="35" s="174" customFormat="1" ht="13.5" customHeight="1" spans="1:9">
      <c r="A35" s="175"/>
      <c r="B35" s="175"/>
      <c r="C35" s="175"/>
      <c r="D35" s="175"/>
      <c r="E35" s="175"/>
      <c r="F35" s="175"/>
      <c r="G35" s="175"/>
      <c r="H35" s="175"/>
      <c r="I35" s="175"/>
    </row>
    <row r="36" s="174" customFormat="1" ht="13.5" customHeight="1" spans="1:9">
      <c r="A36" s="175"/>
      <c r="B36" s="175"/>
      <c r="C36" s="175"/>
      <c r="D36" s="175"/>
      <c r="E36" s="175"/>
      <c r="F36" s="175"/>
      <c r="G36" s="175"/>
      <c r="H36" s="175"/>
      <c r="I36" s="175"/>
    </row>
    <row r="37" s="174" customFormat="1" ht="13.5" customHeight="1" spans="1:9">
      <c r="A37" s="175"/>
      <c r="B37" s="175"/>
      <c r="C37" s="175"/>
      <c r="D37" s="175"/>
      <c r="E37" s="175"/>
      <c r="F37" s="175"/>
      <c r="G37" s="175"/>
      <c r="H37" s="175"/>
      <c r="I37" s="175"/>
    </row>
    <row r="38" s="174" customFormat="1" ht="13.5" customHeight="1" spans="1:9">
      <c r="A38" s="175"/>
      <c r="B38" s="175"/>
      <c r="C38" s="175"/>
      <c r="D38" s="175"/>
      <c r="E38" s="175"/>
      <c r="F38" s="175"/>
      <c r="G38" s="175"/>
      <c r="H38" s="175"/>
      <c r="I38" s="175"/>
    </row>
    <row r="39" s="174" customFormat="1" ht="33" customHeight="1" spans="1:9">
      <c r="A39" s="175"/>
      <c r="B39" s="175"/>
      <c r="C39" s="175"/>
      <c r="D39" s="175"/>
      <c r="E39" s="175"/>
      <c r="F39" s="175"/>
      <c r="G39" s="175"/>
      <c r="H39" s="175"/>
      <c r="I39" s="175"/>
    </row>
    <row r="40" s="174" customFormat="1" ht="13.5" customHeight="1" spans="1:9">
      <c r="A40" s="175"/>
      <c r="B40" s="175"/>
      <c r="C40" s="175"/>
      <c r="D40" s="175"/>
      <c r="E40" s="175"/>
      <c r="F40" s="175"/>
      <c r="G40" s="175"/>
      <c r="H40" s="175"/>
      <c r="I40" s="175"/>
    </row>
    <row r="41" s="174" customFormat="1" ht="13.5" customHeight="1" spans="1:9">
      <c r="A41" s="175"/>
      <c r="B41" s="175"/>
      <c r="C41" s="175"/>
      <c r="D41" s="175"/>
      <c r="E41" s="175"/>
      <c r="F41" s="175"/>
      <c r="G41" s="175"/>
      <c r="H41" s="175"/>
      <c r="I41" s="175"/>
    </row>
    <row r="42" s="174" customFormat="1" ht="19.5" customHeight="1" spans="1:9">
      <c r="A42" s="175"/>
      <c r="B42" s="175"/>
      <c r="C42" s="175"/>
      <c r="D42" s="175"/>
      <c r="E42" s="175"/>
      <c r="F42" s="175"/>
      <c r="G42" s="175"/>
      <c r="H42" s="175"/>
      <c r="I42" s="210" t="s">
        <v>19</v>
      </c>
    </row>
  </sheetData>
  <mergeCells count="23">
    <mergeCell ref="B2:G2"/>
    <mergeCell ref="B6:H6"/>
    <mergeCell ref="A9:B9"/>
    <mergeCell ref="C9:H9"/>
    <mergeCell ref="A10:B10"/>
    <mergeCell ref="C10:H10"/>
    <mergeCell ref="A12:B12"/>
    <mergeCell ref="D12:H12"/>
    <mergeCell ref="A19:B19"/>
    <mergeCell ref="C20:H20"/>
    <mergeCell ref="A23:B23"/>
    <mergeCell ref="A24:B24"/>
    <mergeCell ref="C25:H25"/>
    <mergeCell ref="A29:B29"/>
    <mergeCell ref="C30:H30"/>
    <mergeCell ref="A34:B34"/>
    <mergeCell ref="C34:E34"/>
    <mergeCell ref="G34:I34"/>
    <mergeCell ref="C39:G39"/>
    <mergeCell ref="D14:H15"/>
    <mergeCell ref="C18:H19"/>
    <mergeCell ref="C23:H24"/>
    <mergeCell ref="C28:H29"/>
  </mergeCells>
  <pageMargins left="0.75" right="0.75" top="1" bottom="1" header="0.5" footer="0.5"/>
  <pageSetup paperSize="9" scale="8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P27"/>
  <sheetViews>
    <sheetView view="pageBreakPreview" zoomScaleNormal="100" workbookViewId="0">
      <selection activeCell="E11" sqref="E11"/>
    </sheetView>
  </sheetViews>
  <sheetFormatPr defaultColWidth="9" defaultRowHeight="17.25"/>
  <cols>
    <col min="1" max="1" width="4.5" style="145" customWidth="1"/>
    <col min="2" max="2" width="9.75833333333333" style="146" customWidth="1"/>
    <col min="3" max="3" width="126.733333333333" style="147" customWidth="1"/>
    <col min="4" max="4" width="32.4916666666667" style="148" customWidth="1"/>
    <col min="5" max="6" width="11.775" style="148"/>
    <col min="7" max="7" width="9" style="148"/>
    <col min="8" max="216" width="9" style="139"/>
    <col min="217" max="217" width="4.5" style="139" customWidth="1"/>
    <col min="218" max="218" width="9.75833333333333" style="139" customWidth="1"/>
    <col min="219" max="219" width="78.3833333333333" style="139" customWidth="1"/>
    <col min="220" max="220" width="51.1333333333333" style="139" customWidth="1"/>
    <col min="221" max="472" width="9" style="139"/>
    <col min="473" max="473" width="4.5" style="139" customWidth="1"/>
    <col min="474" max="474" width="9.75833333333333" style="139" customWidth="1"/>
    <col min="475" max="475" width="78.3833333333333" style="139" customWidth="1"/>
    <col min="476" max="476" width="51.1333333333333" style="139" customWidth="1"/>
    <col min="477" max="728" width="9" style="139"/>
    <col min="729" max="729" width="4.5" style="139" customWidth="1"/>
    <col min="730" max="730" width="9.75833333333333" style="139" customWidth="1"/>
    <col min="731" max="731" width="78.3833333333333" style="139" customWidth="1"/>
    <col min="732" max="732" width="51.1333333333333" style="139" customWidth="1"/>
    <col min="733" max="984" width="9" style="139"/>
    <col min="985" max="985" width="4.5" style="139" customWidth="1"/>
    <col min="986" max="986" width="9.75833333333333" style="139" customWidth="1"/>
    <col min="987" max="987" width="78.3833333333333" style="139" customWidth="1"/>
    <col min="988" max="988" width="51.1333333333333" style="139" customWidth="1"/>
    <col min="989" max="1240" width="9" style="139"/>
    <col min="1241" max="1241" width="4.5" style="139" customWidth="1"/>
    <col min="1242" max="1242" width="9.75833333333333" style="139" customWidth="1"/>
    <col min="1243" max="1243" width="78.3833333333333" style="139" customWidth="1"/>
    <col min="1244" max="1244" width="51.1333333333333" style="139" customWidth="1"/>
    <col min="1245" max="1496" width="9" style="139"/>
    <col min="1497" max="1497" width="4.5" style="139" customWidth="1"/>
    <col min="1498" max="1498" width="9.75833333333333" style="139" customWidth="1"/>
    <col min="1499" max="1499" width="78.3833333333333" style="139" customWidth="1"/>
    <col min="1500" max="1500" width="51.1333333333333" style="139" customWidth="1"/>
    <col min="1501" max="1752" width="9" style="139"/>
    <col min="1753" max="1753" width="4.5" style="139" customWidth="1"/>
    <col min="1754" max="1754" width="9.75833333333333" style="139" customWidth="1"/>
    <col min="1755" max="1755" width="78.3833333333333" style="139" customWidth="1"/>
    <col min="1756" max="1756" width="51.1333333333333" style="139" customWidth="1"/>
    <col min="1757" max="2008" width="9" style="139"/>
    <col min="2009" max="2009" width="4.5" style="139" customWidth="1"/>
    <col min="2010" max="2010" width="9.75833333333333" style="139" customWidth="1"/>
    <col min="2011" max="2011" width="78.3833333333333" style="139" customWidth="1"/>
    <col min="2012" max="2012" width="51.1333333333333" style="139" customWidth="1"/>
    <col min="2013" max="2264" width="9" style="139"/>
    <col min="2265" max="2265" width="4.5" style="139" customWidth="1"/>
    <col min="2266" max="2266" width="9.75833333333333" style="139" customWidth="1"/>
    <col min="2267" max="2267" width="78.3833333333333" style="139" customWidth="1"/>
    <col min="2268" max="2268" width="51.1333333333333" style="139" customWidth="1"/>
    <col min="2269" max="2520" width="9" style="139"/>
    <col min="2521" max="2521" width="4.5" style="139" customWidth="1"/>
    <col min="2522" max="2522" width="9.75833333333333" style="139" customWidth="1"/>
    <col min="2523" max="2523" width="78.3833333333333" style="139" customWidth="1"/>
    <col min="2524" max="2524" width="51.1333333333333" style="139" customWidth="1"/>
    <col min="2525" max="2776" width="9" style="139"/>
    <col min="2777" max="2777" width="4.5" style="139" customWidth="1"/>
    <col min="2778" max="2778" width="9.75833333333333" style="139" customWidth="1"/>
    <col min="2779" max="2779" width="78.3833333333333" style="139" customWidth="1"/>
    <col min="2780" max="2780" width="51.1333333333333" style="139" customWidth="1"/>
    <col min="2781" max="3032" width="9" style="139"/>
    <col min="3033" max="3033" width="4.5" style="139" customWidth="1"/>
    <col min="3034" max="3034" width="9.75833333333333" style="139" customWidth="1"/>
    <col min="3035" max="3035" width="78.3833333333333" style="139" customWidth="1"/>
    <col min="3036" max="3036" width="51.1333333333333" style="139" customWidth="1"/>
    <col min="3037" max="3288" width="9" style="139"/>
    <col min="3289" max="3289" width="4.5" style="139" customWidth="1"/>
    <col min="3290" max="3290" width="9.75833333333333" style="139" customWidth="1"/>
    <col min="3291" max="3291" width="78.3833333333333" style="139" customWidth="1"/>
    <col min="3292" max="3292" width="51.1333333333333" style="139" customWidth="1"/>
    <col min="3293" max="3544" width="9" style="139"/>
    <col min="3545" max="3545" width="4.5" style="139" customWidth="1"/>
    <col min="3546" max="3546" width="9.75833333333333" style="139" customWidth="1"/>
    <col min="3547" max="3547" width="78.3833333333333" style="139" customWidth="1"/>
    <col min="3548" max="3548" width="51.1333333333333" style="139" customWidth="1"/>
    <col min="3549" max="3800" width="9" style="139"/>
    <col min="3801" max="3801" width="4.5" style="139" customWidth="1"/>
    <col min="3802" max="3802" width="9.75833333333333" style="139" customWidth="1"/>
    <col min="3803" max="3803" width="78.3833333333333" style="139" customWidth="1"/>
    <col min="3804" max="3804" width="51.1333333333333" style="139" customWidth="1"/>
    <col min="3805" max="4056" width="9" style="139"/>
    <col min="4057" max="4057" width="4.5" style="139" customWidth="1"/>
    <col min="4058" max="4058" width="9.75833333333333" style="139" customWidth="1"/>
    <col min="4059" max="4059" width="78.3833333333333" style="139" customWidth="1"/>
    <col min="4060" max="4060" width="51.1333333333333" style="139" customWidth="1"/>
    <col min="4061" max="4312" width="9" style="139"/>
    <col min="4313" max="4313" width="4.5" style="139" customWidth="1"/>
    <col min="4314" max="4314" width="9.75833333333333" style="139" customWidth="1"/>
    <col min="4315" max="4315" width="78.3833333333333" style="139" customWidth="1"/>
    <col min="4316" max="4316" width="51.1333333333333" style="139" customWidth="1"/>
    <col min="4317" max="4568" width="9" style="139"/>
    <col min="4569" max="4569" width="4.5" style="139" customWidth="1"/>
    <col min="4570" max="4570" width="9.75833333333333" style="139" customWidth="1"/>
    <col min="4571" max="4571" width="78.3833333333333" style="139" customWidth="1"/>
    <col min="4572" max="4572" width="51.1333333333333" style="139" customWidth="1"/>
    <col min="4573" max="4824" width="9" style="139"/>
    <col min="4825" max="4825" width="4.5" style="139" customWidth="1"/>
    <col min="4826" max="4826" width="9.75833333333333" style="139" customWidth="1"/>
    <col min="4827" max="4827" width="78.3833333333333" style="139" customWidth="1"/>
    <col min="4828" max="4828" width="51.1333333333333" style="139" customWidth="1"/>
    <col min="4829" max="5080" width="9" style="139"/>
    <col min="5081" max="5081" width="4.5" style="139" customWidth="1"/>
    <col min="5082" max="5082" width="9.75833333333333" style="139" customWidth="1"/>
    <col min="5083" max="5083" width="78.3833333333333" style="139" customWidth="1"/>
    <col min="5084" max="5084" width="51.1333333333333" style="139" customWidth="1"/>
    <col min="5085" max="5336" width="9" style="139"/>
    <col min="5337" max="5337" width="4.5" style="139" customWidth="1"/>
    <col min="5338" max="5338" width="9.75833333333333" style="139" customWidth="1"/>
    <col min="5339" max="5339" width="78.3833333333333" style="139" customWidth="1"/>
    <col min="5340" max="5340" width="51.1333333333333" style="139" customWidth="1"/>
    <col min="5341" max="5592" width="9" style="139"/>
    <col min="5593" max="5593" width="4.5" style="139" customWidth="1"/>
    <col min="5594" max="5594" width="9.75833333333333" style="139" customWidth="1"/>
    <col min="5595" max="5595" width="78.3833333333333" style="139" customWidth="1"/>
    <col min="5596" max="5596" width="51.1333333333333" style="139" customWidth="1"/>
    <col min="5597" max="5848" width="9" style="139"/>
    <col min="5849" max="5849" width="4.5" style="139" customWidth="1"/>
    <col min="5850" max="5850" width="9.75833333333333" style="139" customWidth="1"/>
    <col min="5851" max="5851" width="78.3833333333333" style="139" customWidth="1"/>
    <col min="5852" max="5852" width="51.1333333333333" style="139" customWidth="1"/>
    <col min="5853" max="6104" width="9" style="139"/>
    <col min="6105" max="6105" width="4.5" style="139" customWidth="1"/>
    <col min="6106" max="6106" width="9.75833333333333" style="139" customWidth="1"/>
    <col min="6107" max="6107" width="78.3833333333333" style="139" customWidth="1"/>
    <col min="6108" max="6108" width="51.1333333333333" style="139" customWidth="1"/>
    <col min="6109" max="6360" width="9" style="139"/>
    <col min="6361" max="6361" width="4.5" style="139" customWidth="1"/>
    <col min="6362" max="6362" width="9.75833333333333" style="139" customWidth="1"/>
    <col min="6363" max="6363" width="78.3833333333333" style="139" customWidth="1"/>
    <col min="6364" max="6364" width="51.1333333333333" style="139" customWidth="1"/>
    <col min="6365" max="6616" width="9" style="139"/>
    <col min="6617" max="6617" width="4.5" style="139" customWidth="1"/>
    <col min="6618" max="6618" width="9.75833333333333" style="139" customWidth="1"/>
    <col min="6619" max="6619" width="78.3833333333333" style="139" customWidth="1"/>
    <col min="6620" max="6620" width="51.1333333333333" style="139" customWidth="1"/>
    <col min="6621" max="6872" width="9" style="139"/>
    <col min="6873" max="6873" width="4.5" style="139" customWidth="1"/>
    <col min="6874" max="6874" width="9.75833333333333" style="139" customWidth="1"/>
    <col min="6875" max="6875" width="78.3833333333333" style="139" customWidth="1"/>
    <col min="6876" max="6876" width="51.1333333333333" style="139" customWidth="1"/>
    <col min="6877" max="7128" width="9" style="139"/>
    <col min="7129" max="7129" width="4.5" style="139" customWidth="1"/>
    <col min="7130" max="7130" width="9.75833333333333" style="139" customWidth="1"/>
    <col min="7131" max="7131" width="78.3833333333333" style="139" customWidth="1"/>
    <col min="7132" max="7132" width="51.1333333333333" style="139" customWidth="1"/>
    <col min="7133" max="7384" width="9" style="139"/>
    <col min="7385" max="7385" width="4.5" style="139" customWidth="1"/>
    <col min="7386" max="7386" width="9.75833333333333" style="139" customWidth="1"/>
    <col min="7387" max="7387" width="78.3833333333333" style="139" customWidth="1"/>
    <col min="7388" max="7388" width="51.1333333333333" style="139" customWidth="1"/>
    <col min="7389" max="7640" width="9" style="139"/>
    <col min="7641" max="7641" width="4.5" style="139" customWidth="1"/>
    <col min="7642" max="7642" width="9.75833333333333" style="139" customWidth="1"/>
    <col min="7643" max="7643" width="78.3833333333333" style="139" customWidth="1"/>
    <col min="7644" max="7644" width="51.1333333333333" style="139" customWidth="1"/>
    <col min="7645" max="7896" width="9" style="139"/>
    <col min="7897" max="7897" width="4.5" style="139" customWidth="1"/>
    <col min="7898" max="7898" width="9.75833333333333" style="139" customWidth="1"/>
    <col min="7899" max="7899" width="78.3833333333333" style="139" customWidth="1"/>
    <col min="7900" max="7900" width="51.1333333333333" style="139" customWidth="1"/>
    <col min="7901" max="8152" width="9" style="139"/>
    <col min="8153" max="8153" width="4.5" style="139" customWidth="1"/>
    <col min="8154" max="8154" width="9.75833333333333" style="139" customWidth="1"/>
    <col min="8155" max="8155" width="78.3833333333333" style="139" customWidth="1"/>
    <col min="8156" max="8156" width="51.1333333333333" style="139" customWidth="1"/>
    <col min="8157" max="8408" width="9" style="139"/>
    <col min="8409" max="8409" width="4.5" style="139" customWidth="1"/>
    <col min="8410" max="8410" width="9.75833333333333" style="139" customWidth="1"/>
    <col min="8411" max="8411" width="78.3833333333333" style="139" customWidth="1"/>
    <col min="8412" max="8412" width="51.1333333333333" style="139" customWidth="1"/>
    <col min="8413" max="8664" width="9" style="139"/>
    <col min="8665" max="8665" width="4.5" style="139" customWidth="1"/>
    <col min="8666" max="8666" width="9.75833333333333" style="139" customWidth="1"/>
    <col min="8667" max="8667" width="78.3833333333333" style="139" customWidth="1"/>
    <col min="8668" max="8668" width="51.1333333333333" style="139" customWidth="1"/>
    <col min="8669" max="8920" width="9" style="139"/>
    <col min="8921" max="8921" width="4.5" style="139" customWidth="1"/>
    <col min="8922" max="8922" width="9.75833333333333" style="139" customWidth="1"/>
    <col min="8923" max="8923" width="78.3833333333333" style="139" customWidth="1"/>
    <col min="8924" max="8924" width="51.1333333333333" style="139" customWidth="1"/>
    <col min="8925" max="9176" width="9" style="139"/>
    <col min="9177" max="9177" width="4.5" style="139" customWidth="1"/>
    <col min="9178" max="9178" width="9.75833333333333" style="139" customWidth="1"/>
    <col min="9179" max="9179" width="78.3833333333333" style="139" customWidth="1"/>
    <col min="9180" max="9180" width="51.1333333333333" style="139" customWidth="1"/>
    <col min="9181" max="9432" width="9" style="139"/>
    <col min="9433" max="9433" width="4.5" style="139" customWidth="1"/>
    <col min="9434" max="9434" width="9.75833333333333" style="139" customWidth="1"/>
    <col min="9435" max="9435" width="78.3833333333333" style="139" customWidth="1"/>
    <col min="9436" max="9436" width="51.1333333333333" style="139" customWidth="1"/>
    <col min="9437" max="9688" width="9" style="139"/>
    <col min="9689" max="9689" width="4.5" style="139" customWidth="1"/>
    <col min="9690" max="9690" width="9.75833333333333" style="139" customWidth="1"/>
    <col min="9691" max="9691" width="78.3833333333333" style="139" customWidth="1"/>
    <col min="9692" max="9692" width="51.1333333333333" style="139" customWidth="1"/>
    <col min="9693" max="9944" width="9" style="139"/>
    <col min="9945" max="9945" width="4.5" style="139" customWidth="1"/>
    <col min="9946" max="9946" width="9.75833333333333" style="139" customWidth="1"/>
    <col min="9947" max="9947" width="78.3833333333333" style="139" customWidth="1"/>
    <col min="9948" max="9948" width="51.1333333333333" style="139" customWidth="1"/>
    <col min="9949" max="10200" width="9" style="139"/>
    <col min="10201" max="10201" width="4.5" style="139" customWidth="1"/>
    <col min="10202" max="10202" width="9.75833333333333" style="139" customWidth="1"/>
    <col min="10203" max="10203" width="78.3833333333333" style="139" customWidth="1"/>
    <col min="10204" max="10204" width="51.1333333333333" style="139" customWidth="1"/>
    <col min="10205" max="10456" width="9" style="139"/>
    <col min="10457" max="10457" width="4.5" style="139" customWidth="1"/>
    <col min="10458" max="10458" width="9.75833333333333" style="139" customWidth="1"/>
    <col min="10459" max="10459" width="78.3833333333333" style="139" customWidth="1"/>
    <col min="10460" max="10460" width="51.1333333333333" style="139" customWidth="1"/>
    <col min="10461" max="10712" width="9" style="139"/>
    <col min="10713" max="10713" width="4.5" style="139" customWidth="1"/>
    <col min="10714" max="10714" width="9.75833333333333" style="139" customWidth="1"/>
    <col min="10715" max="10715" width="78.3833333333333" style="139" customWidth="1"/>
    <col min="10716" max="10716" width="51.1333333333333" style="139" customWidth="1"/>
    <col min="10717" max="10968" width="9" style="139"/>
    <col min="10969" max="10969" width="4.5" style="139" customWidth="1"/>
    <col min="10970" max="10970" width="9.75833333333333" style="139" customWidth="1"/>
    <col min="10971" max="10971" width="78.3833333333333" style="139" customWidth="1"/>
    <col min="10972" max="10972" width="51.1333333333333" style="139" customWidth="1"/>
    <col min="10973" max="11224" width="9" style="139"/>
    <col min="11225" max="11225" width="4.5" style="139" customWidth="1"/>
    <col min="11226" max="11226" width="9.75833333333333" style="139" customWidth="1"/>
    <col min="11227" max="11227" width="78.3833333333333" style="139" customWidth="1"/>
    <col min="11228" max="11228" width="51.1333333333333" style="139" customWidth="1"/>
    <col min="11229" max="11480" width="9" style="139"/>
    <col min="11481" max="11481" width="4.5" style="139" customWidth="1"/>
    <col min="11482" max="11482" width="9.75833333333333" style="139" customWidth="1"/>
    <col min="11483" max="11483" width="78.3833333333333" style="139" customWidth="1"/>
    <col min="11484" max="11484" width="51.1333333333333" style="139" customWidth="1"/>
    <col min="11485" max="11736" width="9" style="139"/>
    <col min="11737" max="11737" width="4.5" style="139" customWidth="1"/>
    <col min="11738" max="11738" width="9.75833333333333" style="139" customWidth="1"/>
    <col min="11739" max="11739" width="78.3833333333333" style="139" customWidth="1"/>
    <col min="11740" max="11740" width="51.1333333333333" style="139" customWidth="1"/>
    <col min="11741" max="11992" width="9" style="139"/>
    <col min="11993" max="11993" width="4.5" style="139" customWidth="1"/>
    <col min="11994" max="11994" width="9.75833333333333" style="139" customWidth="1"/>
    <col min="11995" max="11995" width="78.3833333333333" style="139" customWidth="1"/>
    <col min="11996" max="11996" width="51.1333333333333" style="139" customWidth="1"/>
    <col min="11997" max="12248" width="9" style="139"/>
    <col min="12249" max="12249" width="4.5" style="139" customWidth="1"/>
    <col min="12250" max="12250" width="9.75833333333333" style="139" customWidth="1"/>
    <col min="12251" max="12251" width="78.3833333333333" style="139" customWidth="1"/>
    <col min="12252" max="12252" width="51.1333333333333" style="139" customWidth="1"/>
    <col min="12253" max="12504" width="9" style="139"/>
    <col min="12505" max="12505" width="4.5" style="139" customWidth="1"/>
    <col min="12506" max="12506" width="9.75833333333333" style="139" customWidth="1"/>
    <col min="12507" max="12507" width="78.3833333333333" style="139" customWidth="1"/>
    <col min="12508" max="12508" width="51.1333333333333" style="139" customWidth="1"/>
    <col min="12509" max="12760" width="9" style="139"/>
    <col min="12761" max="12761" width="4.5" style="139" customWidth="1"/>
    <col min="12762" max="12762" width="9.75833333333333" style="139" customWidth="1"/>
    <col min="12763" max="12763" width="78.3833333333333" style="139" customWidth="1"/>
    <col min="12764" max="12764" width="51.1333333333333" style="139" customWidth="1"/>
    <col min="12765" max="13016" width="9" style="139"/>
    <col min="13017" max="13017" width="4.5" style="139" customWidth="1"/>
    <col min="13018" max="13018" width="9.75833333333333" style="139" customWidth="1"/>
    <col min="13019" max="13019" width="78.3833333333333" style="139" customWidth="1"/>
    <col min="13020" max="13020" width="51.1333333333333" style="139" customWidth="1"/>
    <col min="13021" max="13272" width="9" style="139"/>
    <col min="13273" max="13273" width="4.5" style="139" customWidth="1"/>
    <col min="13274" max="13274" width="9.75833333333333" style="139" customWidth="1"/>
    <col min="13275" max="13275" width="78.3833333333333" style="139" customWidth="1"/>
    <col min="13276" max="13276" width="51.1333333333333" style="139" customWidth="1"/>
    <col min="13277" max="13528" width="9" style="139"/>
    <col min="13529" max="13529" width="4.5" style="139" customWidth="1"/>
    <col min="13530" max="13530" width="9.75833333333333" style="139" customWidth="1"/>
    <col min="13531" max="13531" width="78.3833333333333" style="139" customWidth="1"/>
    <col min="13532" max="13532" width="51.1333333333333" style="139" customWidth="1"/>
    <col min="13533" max="13784" width="9" style="139"/>
    <col min="13785" max="13785" width="4.5" style="139" customWidth="1"/>
    <col min="13786" max="13786" width="9.75833333333333" style="139" customWidth="1"/>
    <col min="13787" max="13787" width="78.3833333333333" style="139" customWidth="1"/>
    <col min="13788" max="13788" width="51.1333333333333" style="139" customWidth="1"/>
    <col min="13789" max="14040" width="9" style="139"/>
    <col min="14041" max="14041" width="4.5" style="139" customWidth="1"/>
    <col min="14042" max="14042" width="9.75833333333333" style="139" customWidth="1"/>
    <col min="14043" max="14043" width="78.3833333333333" style="139" customWidth="1"/>
    <col min="14044" max="14044" width="51.1333333333333" style="139" customWidth="1"/>
    <col min="14045" max="14296" width="9" style="139"/>
    <col min="14297" max="14297" width="4.5" style="139" customWidth="1"/>
    <col min="14298" max="14298" width="9.75833333333333" style="139" customWidth="1"/>
    <col min="14299" max="14299" width="78.3833333333333" style="139" customWidth="1"/>
    <col min="14300" max="14300" width="51.1333333333333" style="139" customWidth="1"/>
    <col min="14301" max="14552" width="9" style="139"/>
    <col min="14553" max="14553" width="4.5" style="139" customWidth="1"/>
    <col min="14554" max="14554" width="9.75833333333333" style="139" customWidth="1"/>
    <col min="14555" max="14555" width="78.3833333333333" style="139" customWidth="1"/>
    <col min="14556" max="14556" width="51.1333333333333" style="139" customWidth="1"/>
    <col min="14557" max="14808" width="9" style="139"/>
    <col min="14809" max="14809" width="4.5" style="139" customWidth="1"/>
    <col min="14810" max="14810" width="9.75833333333333" style="139" customWidth="1"/>
    <col min="14811" max="14811" width="78.3833333333333" style="139" customWidth="1"/>
    <col min="14812" max="14812" width="51.1333333333333" style="139" customWidth="1"/>
    <col min="14813" max="15064" width="9" style="139"/>
    <col min="15065" max="15065" width="4.5" style="139" customWidth="1"/>
    <col min="15066" max="15066" width="9.75833333333333" style="139" customWidth="1"/>
    <col min="15067" max="15067" width="78.3833333333333" style="139" customWidth="1"/>
    <col min="15068" max="15068" width="51.1333333333333" style="139" customWidth="1"/>
    <col min="15069" max="15320" width="9" style="139"/>
    <col min="15321" max="15321" width="4.5" style="139" customWidth="1"/>
    <col min="15322" max="15322" width="9.75833333333333" style="139" customWidth="1"/>
    <col min="15323" max="15323" width="78.3833333333333" style="139" customWidth="1"/>
    <col min="15324" max="15324" width="51.1333333333333" style="139" customWidth="1"/>
    <col min="15325" max="15576" width="9" style="139"/>
    <col min="15577" max="15577" width="4.5" style="139" customWidth="1"/>
    <col min="15578" max="15578" width="9.75833333333333" style="139" customWidth="1"/>
    <col min="15579" max="15579" width="78.3833333333333" style="139" customWidth="1"/>
    <col min="15580" max="15580" width="51.1333333333333" style="139" customWidth="1"/>
    <col min="15581" max="15832" width="9" style="139"/>
    <col min="15833" max="15833" width="4.5" style="139" customWidth="1"/>
    <col min="15834" max="15834" width="9.75833333333333" style="139" customWidth="1"/>
    <col min="15835" max="15835" width="78.3833333333333" style="139" customWidth="1"/>
    <col min="15836" max="15836" width="51.1333333333333" style="139" customWidth="1"/>
    <col min="15837" max="16088" width="9" style="139"/>
    <col min="16089" max="16089" width="4.5" style="139" customWidth="1"/>
    <col min="16090" max="16090" width="9.75833333333333" style="139" customWidth="1"/>
    <col min="16091" max="16091" width="78.3833333333333" style="139" customWidth="1"/>
    <col min="16092" max="16092" width="51.1333333333333" style="139" customWidth="1"/>
    <col min="16093" max="16384" width="9" style="139"/>
  </cols>
  <sheetData>
    <row r="1" s="139" customFormat="1" ht="34" customHeight="1" spans="1:7">
      <c r="A1" s="149" t="s">
        <v>20</v>
      </c>
      <c r="B1" s="149"/>
      <c r="C1" s="149"/>
      <c r="D1" s="148"/>
      <c r="E1" s="150"/>
      <c r="F1" s="148"/>
      <c r="G1" s="148"/>
    </row>
    <row r="2" s="140" customFormat="1" ht="20.25" customHeight="1" spans="1:198">
      <c r="A2" s="151" t="s">
        <v>21</v>
      </c>
      <c r="B2" s="152" t="s">
        <v>22</v>
      </c>
      <c r="C2" s="153"/>
      <c r="D2" s="154"/>
      <c r="E2" s="154"/>
      <c r="F2" s="154"/>
      <c r="G2" s="154"/>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row>
    <row r="3" s="141" customFormat="1" ht="20" customHeight="1" spans="1:7">
      <c r="A3" s="211" t="s">
        <v>23</v>
      </c>
      <c r="B3" s="212" t="s">
        <v>24</v>
      </c>
      <c r="C3" s="156" t="s">
        <v>6</v>
      </c>
      <c r="D3" s="154"/>
      <c r="E3" s="154"/>
      <c r="F3" s="154"/>
      <c r="G3" s="154"/>
    </row>
    <row r="4" s="141" customFormat="1" ht="24" customHeight="1" spans="1:7">
      <c r="A4" s="211" t="s">
        <v>25</v>
      </c>
      <c r="B4" s="213" t="s">
        <v>26</v>
      </c>
      <c r="C4" s="158" t="s">
        <v>27</v>
      </c>
      <c r="D4" s="154"/>
      <c r="E4" s="154"/>
      <c r="F4" s="154"/>
      <c r="G4" s="154"/>
    </row>
    <row r="5" s="141" customFormat="1" ht="16.5" spans="1:7">
      <c r="A5" s="151">
        <v>3</v>
      </c>
      <c r="B5" s="212" t="s">
        <v>28</v>
      </c>
      <c r="C5" s="159" t="s">
        <v>29</v>
      </c>
      <c r="D5" s="154"/>
      <c r="E5" s="160"/>
      <c r="F5" s="154"/>
      <c r="G5" s="154"/>
    </row>
    <row r="6" s="141" customFormat="1" ht="120" customHeight="1" spans="1:7">
      <c r="A6" s="151">
        <v>4</v>
      </c>
      <c r="B6" s="155" t="s">
        <v>30</v>
      </c>
      <c r="C6" s="159" t="s">
        <v>31</v>
      </c>
      <c r="D6" s="154"/>
      <c r="E6" s="160"/>
      <c r="G6" s="154"/>
    </row>
    <row r="7" s="141" customFormat="1" ht="21.75" customHeight="1" spans="1:7">
      <c r="A7" s="151" t="s">
        <v>32</v>
      </c>
      <c r="B7" s="152" t="s">
        <v>33</v>
      </c>
      <c r="C7" s="153"/>
      <c r="D7" s="154"/>
      <c r="E7" s="161"/>
      <c r="F7" s="154"/>
      <c r="G7" s="154"/>
    </row>
    <row r="8" s="142" customFormat="1" ht="32" customHeight="1" spans="1:7">
      <c r="A8" s="211" t="s">
        <v>23</v>
      </c>
      <c r="B8" s="162" t="s">
        <v>34</v>
      </c>
      <c r="C8" s="162"/>
      <c r="D8" s="163"/>
      <c r="E8" s="142"/>
      <c r="F8" s="163"/>
      <c r="G8" s="163"/>
    </row>
    <row r="9" s="142" customFormat="1" ht="33" customHeight="1" spans="1:7">
      <c r="A9" s="211" t="s">
        <v>25</v>
      </c>
      <c r="B9" s="164" t="s">
        <v>35</v>
      </c>
      <c r="C9" s="164"/>
      <c r="D9" s="163"/>
      <c r="E9" s="163"/>
      <c r="F9" s="163"/>
      <c r="G9" s="163"/>
    </row>
    <row r="10" s="143" customFormat="1" ht="20" customHeight="1" spans="1:7">
      <c r="A10" s="211" t="s">
        <v>36</v>
      </c>
      <c r="B10" s="165" t="s">
        <v>37</v>
      </c>
      <c r="C10" s="166"/>
      <c r="D10" s="167"/>
      <c r="E10" s="167"/>
      <c r="F10" s="167"/>
      <c r="G10" s="167"/>
    </row>
    <row r="11" s="143" customFormat="1" ht="54" customHeight="1" spans="1:7">
      <c r="A11" s="151">
        <v>4</v>
      </c>
      <c r="B11" s="165" t="s">
        <v>38</v>
      </c>
      <c r="C11" s="166"/>
      <c r="D11" s="167"/>
      <c r="E11" s="167"/>
      <c r="F11" s="167"/>
      <c r="G11" s="167"/>
    </row>
    <row r="12" s="143" customFormat="1" ht="28" customHeight="1" spans="1:7">
      <c r="A12" s="151">
        <v>5</v>
      </c>
      <c r="B12" s="165" t="s">
        <v>39</v>
      </c>
      <c r="C12" s="166"/>
      <c r="D12" s="167"/>
      <c r="E12" s="167"/>
      <c r="F12" s="167"/>
      <c r="G12" s="167"/>
    </row>
    <row r="13" s="142" customFormat="1" ht="246" customHeight="1" spans="1:7">
      <c r="A13" s="151">
        <v>6</v>
      </c>
      <c r="B13" s="214" t="s">
        <v>40</v>
      </c>
      <c r="C13" s="162" t="s">
        <v>41</v>
      </c>
      <c r="D13" s="163"/>
      <c r="E13" s="163"/>
      <c r="F13" s="163"/>
      <c r="G13" s="163"/>
    </row>
    <row r="14" s="143" customFormat="1" ht="31.15" customHeight="1" spans="1:7">
      <c r="A14" s="151" t="s">
        <v>42</v>
      </c>
      <c r="B14" s="152" t="s">
        <v>43</v>
      </c>
      <c r="C14" s="153"/>
      <c r="D14" s="167"/>
      <c r="E14" s="167"/>
      <c r="F14" s="167"/>
      <c r="G14" s="167"/>
    </row>
    <row r="15" s="144" customFormat="1" ht="30" customHeight="1" spans="1:7">
      <c r="A15" s="151">
        <v>1</v>
      </c>
      <c r="B15" s="215" t="s">
        <v>44</v>
      </c>
      <c r="C15" s="170" t="s">
        <v>45</v>
      </c>
      <c r="D15" s="171"/>
      <c r="E15" s="171"/>
      <c r="F15" s="171"/>
      <c r="G15" s="171"/>
    </row>
    <row r="16" s="144" customFormat="1" ht="30" customHeight="1" spans="1:7">
      <c r="A16" s="151">
        <v>2</v>
      </c>
      <c r="B16" s="172"/>
      <c r="C16" s="170" t="s">
        <v>46</v>
      </c>
      <c r="D16" s="171"/>
      <c r="E16" s="171"/>
      <c r="F16" s="171"/>
      <c r="G16" s="171"/>
    </row>
    <row r="17" s="144" customFormat="1" ht="30" customHeight="1" spans="1:7">
      <c r="A17" s="151">
        <v>3</v>
      </c>
      <c r="B17" s="172"/>
      <c r="C17" s="170" t="s">
        <v>47</v>
      </c>
      <c r="D17" s="171"/>
      <c r="E17" s="171"/>
      <c r="F17" s="171"/>
      <c r="G17" s="171"/>
    </row>
    <row r="18" s="144" customFormat="1" ht="30" customHeight="1" spans="1:7">
      <c r="A18" s="151">
        <v>4</v>
      </c>
      <c r="B18" s="172"/>
      <c r="C18" s="170" t="s">
        <v>48</v>
      </c>
      <c r="D18" s="171"/>
      <c r="E18" s="171"/>
      <c r="F18" s="171"/>
      <c r="G18" s="171"/>
    </row>
    <row r="19" s="144" customFormat="1" ht="30" customHeight="1" spans="1:7">
      <c r="A19" s="151">
        <v>5</v>
      </c>
      <c r="B19" s="172"/>
      <c r="C19" s="170" t="s">
        <v>49</v>
      </c>
      <c r="D19" s="171"/>
      <c r="E19" s="171"/>
      <c r="F19" s="171"/>
      <c r="G19" s="171"/>
    </row>
    <row r="20" s="144" customFormat="1" ht="30" customHeight="1" spans="1:7">
      <c r="A20" s="151">
        <v>6</v>
      </c>
      <c r="B20" s="172"/>
      <c r="C20" s="170" t="s">
        <v>50</v>
      </c>
      <c r="D20" s="171"/>
      <c r="E20" s="171"/>
      <c r="F20" s="171"/>
      <c r="G20" s="171"/>
    </row>
    <row r="21" s="144" customFormat="1" ht="30" customHeight="1" spans="1:7">
      <c r="A21" s="151">
        <v>7</v>
      </c>
      <c r="B21" s="172"/>
      <c r="C21" s="170" t="s">
        <v>51</v>
      </c>
      <c r="D21" s="171"/>
      <c r="E21" s="171"/>
      <c r="F21" s="171"/>
      <c r="G21" s="171"/>
    </row>
    <row r="22" s="144" customFormat="1" ht="30" customHeight="1" spans="1:7">
      <c r="A22" s="151">
        <v>8</v>
      </c>
      <c r="B22" s="173"/>
      <c r="C22" s="170" t="s">
        <v>52</v>
      </c>
      <c r="D22" s="171"/>
      <c r="E22" s="171"/>
      <c r="F22" s="171"/>
      <c r="G22" s="171"/>
    </row>
    <row r="23" s="144" customFormat="1" ht="30" customHeight="1" spans="1:7">
      <c r="A23" s="151">
        <v>9</v>
      </c>
      <c r="B23" s="173"/>
      <c r="C23" s="170" t="s">
        <v>53</v>
      </c>
      <c r="D23" s="171"/>
      <c r="E23" s="171"/>
      <c r="F23" s="171"/>
      <c r="G23" s="171"/>
    </row>
    <row r="24" s="144" customFormat="1" ht="31" customHeight="1" spans="1:7">
      <c r="A24" s="151">
        <v>10</v>
      </c>
      <c r="B24" s="214" t="s">
        <v>54</v>
      </c>
      <c r="C24" s="170" t="s">
        <v>55</v>
      </c>
      <c r="D24" s="171"/>
      <c r="E24" s="171"/>
      <c r="F24" s="171"/>
      <c r="G24" s="171"/>
    </row>
    <row r="25" s="144" customFormat="1" ht="15" customHeight="1" spans="1:7">
      <c r="A25" s="151">
        <v>11</v>
      </c>
      <c r="B25" s="168"/>
      <c r="C25" s="170" t="s">
        <v>56</v>
      </c>
      <c r="D25" s="171"/>
      <c r="E25" s="171"/>
      <c r="F25" s="171"/>
      <c r="G25" s="171"/>
    </row>
    <row r="26" s="144" customFormat="1" ht="32" customHeight="1" spans="1:7">
      <c r="A26" s="151">
        <v>12</v>
      </c>
      <c r="B26" s="168"/>
      <c r="C26" s="170" t="s">
        <v>57</v>
      </c>
      <c r="D26" s="171"/>
      <c r="E26" s="171"/>
      <c r="F26" s="171"/>
      <c r="G26" s="171"/>
    </row>
    <row r="27" s="144" customFormat="1" ht="30" customHeight="1" spans="1:7">
      <c r="A27" s="151">
        <v>13</v>
      </c>
      <c r="B27" s="168"/>
      <c r="C27" s="170" t="s">
        <v>58</v>
      </c>
      <c r="D27" s="171"/>
      <c r="E27" s="171"/>
      <c r="F27" s="171"/>
      <c r="G27" s="171"/>
    </row>
  </sheetData>
  <sheetProtection password="CF7A" sheet="1" formatColumns="0" formatRows="0" objects="1"/>
  <mergeCells count="11">
    <mergeCell ref="A1:C1"/>
    <mergeCell ref="B2:C2"/>
    <mergeCell ref="B7:C7"/>
    <mergeCell ref="B8:C8"/>
    <mergeCell ref="B9:C9"/>
    <mergeCell ref="B10:C10"/>
    <mergeCell ref="B11:C11"/>
    <mergeCell ref="B12:C12"/>
    <mergeCell ref="B14:C14"/>
    <mergeCell ref="B15:B23"/>
    <mergeCell ref="B24:B27"/>
  </mergeCells>
  <pageMargins left="0.75" right="0.75" top="1" bottom="1" header="0.5" footer="0.5"/>
  <pageSetup paperSize="9" scale="62"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200"/>
  <sheetViews>
    <sheetView view="pageBreakPreview" zoomScaleNormal="85" workbookViewId="0">
      <pane ySplit="2" topLeftCell="A7" activePane="bottomLeft" state="frozen"/>
      <selection/>
      <selection pane="bottomLeft" activeCell="D22" sqref="D22"/>
    </sheetView>
  </sheetViews>
  <sheetFormatPr defaultColWidth="9" defaultRowHeight="13.5" outlineLevelCol="6"/>
  <cols>
    <col min="1" max="1" width="9" customWidth="1"/>
    <col min="2" max="2" width="43.3916666666667" customWidth="1"/>
    <col min="3" max="3" width="19.7" customWidth="1"/>
    <col min="4" max="4" width="21.0333333333333" customWidth="1"/>
    <col min="5" max="5" width="17.9333333333333" customWidth="1"/>
    <col min="6" max="6" width="20.1416666666667" customWidth="1"/>
    <col min="7" max="7" width="10" customWidth="1"/>
  </cols>
  <sheetData>
    <row r="1" ht="31" customHeight="1" spans="1:7">
      <c r="A1" s="127" t="s">
        <v>6</v>
      </c>
      <c r="B1" s="127"/>
      <c r="C1" s="127"/>
      <c r="D1" s="127"/>
      <c r="E1" s="127"/>
      <c r="F1" s="127"/>
      <c r="G1" s="128"/>
    </row>
    <row r="2" s="125" customFormat="1" ht="37" customHeight="1" spans="1:7">
      <c r="A2" s="129" t="s">
        <v>59</v>
      </c>
      <c r="B2" s="129" t="s">
        <v>60</v>
      </c>
      <c r="C2" s="130" t="s">
        <v>61</v>
      </c>
      <c r="D2" s="130" t="s">
        <v>62</v>
      </c>
      <c r="E2" s="130" t="s">
        <v>63</v>
      </c>
      <c r="F2" s="129" t="s">
        <v>64</v>
      </c>
      <c r="G2" s="131"/>
    </row>
    <row r="3" ht="30" customHeight="1" spans="1:7">
      <c r="A3" s="132">
        <v>1</v>
      </c>
      <c r="B3" s="133" t="s">
        <v>65</v>
      </c>
      <c r="C3" s="134">
        <v>261909.45</v>
      </c>
      <c r="D3" s="134">
        <f>'1、智能化清单'!AL5</f>
        <v>0</v>
      </c>
      <c r="E3" s="134">
        <f>D3/C3</f>
        <v>0</v>
      </c>
      <c r="F3" s="132"/>
      <c r="G3" s="128"/>
    </row>
    <row r="4" ht="30" customHeight="1" spans="1:7">
      <c r="A4" s="132">
        <v>2</v>
      </c>
      <c r="B4" s="133" t="s">
        <v>66</v>
      </c>
      <c r="C4" s="134">
        <v>261909.45</v>
      </c>
      <c r="D4" s="134">
        <f>'1、智能化清单'!AL28</f>
        <v>0</v>
      </c>
      <c r="E4" s="134">
        <f t="shared" ref="E3:E9" si="0">D4/C4</f>
        <v>0</v>
      </c>
      <c r="F4" s="132"/>
      <c r="G4" s="128"/>
    </row>
    <row r="5" ht="30" customHeight="1" spans="1:7">
      <c r="A5" s="132">
        <v>3</v>
      </c>
      <c r="B5" s="133" t="s">
        <v>67</v>
      </c>
      <c r="C5" s="134">
        <v>261909.45</v>
      </c>
      <c r="D5" s="134">
        <f>'1、智能化清单'!AL67</f>
        <v>0</v>
      </c>
      <c r="E5" s="134">
        <f t="shared" si="0"/>
        <v>0</v>
      </c>
      <c r="F5" s="132"/>
      <c r="G5" s="128"/>
    </row>
    <row r="6" ht="30" customHeight="1" spans="1:7">
      <c r="A6" s="132">
        <v>4</v>
      </c>
      <c r="B6" s="133" t="s">
        <v>68</v>
      </c>
      <c r="C6" s="134">
        <v>261909.45</v>
      </c>
      <c r="D6" s="134">
        <f>'1、智能化清单'!AL98</f>
        <v>0</v>
      </c>
      <c r="E6" s="134">
        <f t="shared" si="0"/>
        <v>0</v>
      </c>
      <c r="F6" s="132"/>
      <c r="G6" s="128"/>
    </row>
    <row r="7" ht="30" customHeight="1" spans="1:7">
      <c r="A7" s="132">
        <v>5</v>
      </c>
      <c r="B7" s="133" t="s">
        <v>69</v>
      </c>
      <c r="C7" s="134">
        <v>261909.45</v>
      </c>
      <c r="D7" s="134">
        <f>'1、智能化清单'!AL103</f>
        <v>0</v>
      </c>
      <c r="E7" s="134">
        <f t="shared" si="0"/>
        <v>0</v>
      </c>
      <c r="F7" s="132"/>
      <c r="G7" s="128"/>
    </row>
    <row r="8" ht="30" customHeight="1" spans="1:7">
      <c r="A8" s="132">
        <v>6</v>
      </c>
      <c r="B8" s="133" t="s">
        <v>70</v>
      </c>
      <c r="C8" s="134">
        <v>261909.45</v>
      </c>
      <c r="D8" s="134">
        <f>'1、智能化清单'!AL110</f>
        <v>0</v>
      </c>
      <c r="E8" s="134">
        <f t="shared" si="0"/>
        <v>0</v>
      </c>
      <c r="F8" s="132"/>
      <c r="G8" s="128"/>
    </row>
    <row r="9" ht="30" customHeight="1" spans="1:7">
      <c r="A9" s="132">
        <v>7</v>
      </c>
      <c r="B9" s="133" t="s">
        <v>71</v>
      </c>
      <c r="C9" s="134">
        <v>261909.45</v>
      </c>
      <c r="D9" s="134">
        <f>'1、智能化清单'!AL132</f>
        <v>0</v>
      </c>
      <c r="E9" s="134">
        <f t="shared" si="0"/>
        <v>0</v>
      </c>
      <c r="F9" s="132"/>
      <c r="G9" s="128"/>
    </row>
    <row r="10" ht="30" customHeight="1" spans="1:7">
      <c r="A10" s="132">
        <v>8</v>
      </c>
      <c r="B10" s="133" t="s">
        <v>72</v>
      </c>
      <c r="C10" s="134">
        <v>261909.45</v>
      </c>
      <c r="D10" s="134">
        <f>'1、智能化清单'!AL163</f>
        <v>0</v>
      </c>
      <c r="E10" s="134">
        <f t="shared" ref="E10:E23" si="1">D10/C10</f>
        <v>0</v>
      </c>
      <c r="F10" s="132"/>
      <c r="G10" s="128"/>
    </row>
    <row r="11" ht="30" customHeight="1" spans="1:7">
      <c r="A11" s="132">
        <v>9</v>
      </c>
      <c r="B11" s="133" t="s">
        <v>73</v>
      </c>
      <c r="C11" s="134">
        <v>261909.45</v>
      </c>
      <c r="D11" s="134">
        <f>'1、智能化清单'!AL209</f>
        <v>0</v>
      </c>
      <c r="E11" s="134">
        <f t="shared" si="1"/>
        <v>0</v>
      </c>
      <c r="F11" s="132"/>
      <c r="G11" s="128"/>
    </row>
    <row r="12" ht="30" customHeight="1" spans="1:7">
      <c r="A12" s="132">
        <v>10</v>
      </c>
      <c r="B12" s="133" t="s">
        <v>74</v>
      </c>
      <c r="C12" s="134">
        <v>261909.45</v>
      </c>
      <c r="D12" s="134">
        <f>'1、智能化清单'!AL231</f>
        <v>0</v>
      </c>
      <c r="E12" s="134">
        <f t="shared" si="1"/>
        <v>0</v>
      </c>
      <c r="F12" s="132"/>
      <c r="G12" s="128"/>
    </row>
    <row r="13" ht="30" customHeight="1" spans="1:7">
      <c r="A13" s="132">
        <v>11</v>
      </c>
      <c r="B13" s="133" t="s">
        <v>75</v>
      </c>
      <c r="C13" s="134">
        <v>261909.45</v>
      </c>
      <c r="D13" s="134">
        <f>'1、智能化清单'!AL237</f>
        <v>0</v>
      </c>
      <c r="E13" s="134">
        <f t="shared" si="1"/>
        <v>0</v>
      </c>
      <c r="F13" s="132"/>
      <c r="G13" s="128"/>
    </row>
    <row r="14" ht="30" customHeight="1" spans="1:7">
      <c r="A14" s="132">
        <v>12</v>
      </c>
      <c r="B14" s="133" t="s">
        <v>76</v>
      </c>
      <c r="C14" s="134">
        <f t="shared" ref="C14:C20" si="2">283823.02-(16575.6+4273.04+1050.43+14.5)</f>
        <v>261909.45</v>
      </c>
      <c r="D14" s="134">
        <f>'1、智能化清单'!AL253</f>
        <v>0</v>
      </c>
      <c r="E14" s="134">
        <f t="shared" si="1"/>
        <v>0</v>
      </c>
      <c r="F14" s="132"/>
      <c r="G14" s="128"/>
    </row>
    <row r="15" ht="30" customHeight="1" spans="1:7">
      <c r="A15" s="132">
        <v>13</v>
      </c>
      <c r="B15" s="133" t="s">
        <v>77</v>
      </c>
      <c r="C15" s="134">
        <f t="shared" si="2"/>
        <v>261909.45</v>
      </c>
      <c r="D15" s="134">
        <f>'1、智能化清单'!AL271</f>
        <v>0</v>
      </c>
      <c r="E15" s="134">
        <f t="shared" si="1"/>
        <v>0</v>
      </c>
      <c r="F15" s="132"/>
      <c r="G15" s="128"/>
    </row>
    <row r="16" s="126" customFormat="1" ht="30" customHeight="1" spans="1:7">
      <c r="A16" s="132">
        <v>14</v>
      </c>
      <c r="B16" s="133" t="s">
        <v>78</v>
      </c>
      <c r="C16" s="134">
        <f t="shared" si="2"/>
        <v>261909.45</v>
      </c>
      <c r="D16" s="134">
        <f>'1、智能化清单'!AL285</f>
        <v>0</v>
      </c>
      <c r="E16" s="134">
        <f t="shared" si="1"/>
        <v>0</v>
      </c>
      <c r="F16" s="132"/>
      <c r="G16" s="128"/>
    </row>
    <row r="17" s="126" customFormat="1" ht="30" customHeight="1" spans="1:7">
      <c r="A17" s="132">
        <v>15</v>
      </c>
      <c r="B17" s="133" t="s">
        <v>79</v>
      </c>
      <c r="C17" s="134">
        <f t="shared" si="2"/>
        <v>261909.45</v>
      </c>
      <c r="D17" s="134">
        <f>'1、智能化清单'!AL308</f>
        <v>0</v>
      </c>
      <c r="E17" s="134">
        <f t="shared" si="1"/>
        <v>0</v>
      </c>
      <c r="F17" s="132"/>
      <c r="G17" s="128"/>
    </row>
    <row r="18" s="126" customFormat="1" ht="30" customHeight="1" spans="1:7">
      <c r="A18" s="132">
        <v>16</v>
      </c>
      <c r="B18" s="133" t="s">
        <v>80</v>
      </c>
      <c r="C18" s="134">
        <f t="shared" si="2"/>
        <v>261909.45</v>
      </c>
      <c r="D18" s="134">
        <f>'1、智能化清单'!AL336</f>
        <v>0</v>
      </c>
      <c r="E18" s="134">
        <f t="shared" si="1"/>
        <v>0</v>
      </c>
      <c r="F18" s="132"/>
      <c r="G18" s="135" t="s">
        <v>81</v>
      </c>
    </row>
    <row r="19" s="126" customFormat="1" ht="30" customHeight="1" spans="1:7">
      <c r="A19" s="132">
        <v>17</v>
      </c>
      <c r="B19" s="133" t="s">
        <v>82</v>
      </c>
      <c r="C19" s="134">
        <f t="shared" si="2"/>
        <v>261909.45</v>
      </c>
      <c r="D19" s="134">
        <f>'1、智能化清单'!AL340</f>
        <v>0</v>
      </c>
      <c r="E19" s="134">
        <f t="shared" si="1"/>
        <v>0</v>
      </c>
      <c r="F19" s="132"/>
      <c r="G19" s="128"/>
    </row>
    <row r="20" s="126" customFormat="1" ht="30" customHeight="1" spans="1:7">
      <c r="A20" s="132">
        <v>18</v>
      </c>
      <c r="B20" s="133" t="s">
        <v>83</v>
      </c>
      <c r="C20" s="134">
        <f t="shared" si="2"/>
        <v>261909.45</v>
      </c>
      <c r="D20" s="134">
        <f>'1、智能化清单'!AL360</f>
        <v>0</v>
      </c>
      <c r="E20" s="134">
        <f t="shared" si="1"/>
        <v>0</v>
      </c>
      <c r="F20" s="132"/>
      <c r="G20" s="128"/>
    </row>
    <row r="21" ht="30" customHeight="1" spans="1:7">
      <c r="A21" s="136"/>
      <c r="B21" s="137" t="s">
        <v>84</v>
      </c>
      <c r="C21" s="138">
        <f>C3</f>
        <v>261909.45</v>
      </c>
      <c r="D21" s="138">
        <f>SUM(D3:D20)</f>
        <v>0</v>
      </c>
      <c r="E21" s="138">
        <f>D21/C21</f>
        <v>0</v>
      </c>
      <c r="F21" s="136"/>
      <c r="G21" s="128"/>
    </row>
    <row r="22" ht="18.75" spans="1:7">
      <c r="A22" s="128"/>
      <c r="B22" s="128"/>
      <c r="C22" s="128"/>
      <c r="D22" s="128"/>
      <c r="E22" s="128"/>
      <c r="F22" s="128"/>
      <c r="G22" s="128"/>
    </row>
    <row r="23" ht="18.75" spans="1:7">
      <c r="A23" s="128"/>
      <c r="B23" s="128"/>
      <c r="C23" s="128"/>
      <c r="D23" s="128"/>
      <c r="E23" s="128"/>
      <c r="F23" s="128"/>
      <c r="G23" s="128"/>
    </row>
    <row r="24" ht="18.75" spans="1:7">
      <c r="A24" s="128"/>
      <c r="B24" s="128"/>
      <c r="C24" s="128"/>
      <c r="D24" s="128"/>
      <c r="E24" s="128"/>
      <c r="F24" s="128"/>
      <c r="G24" s="128"/>
    </row>
    <row r="25" ht="18.75" spans="1:7">
      <c r="A25" s="128"/>
      <c r="B25" s="128"/>
      <c r="C25" s="128"/>
      <c r="D25" s="128"/>
      <c r="E25" s="128"/>
      <c r="F25" s="128"/>
      <c r="G25" s="128"/>
    </row>
    <row r="26" ht="18.75" spans="1:7">
      <c r="A26" s="128"/>
      <c r="B26" s="128"/>
      <c r="C26" s="128"/>
      <c r="D26" s="128"/>
      <c r="E26" s="128"/>
      <c r="F26" s="128"/>
      <c r="G26" s="128"/>
    </row>
    <row r="27" ht="18.75" spans="1:7">
      <c r="A27" s="128"/>
      <c r="B27" s="128"/>
      <c r="C27" s="128"/>
      <c r="D27" s="128"/>
      <c r="E27" s="128"/>
      <c r="F27" s="128"/>
      <c r="G27" s="128"/>
    </row>
    <row r="28" ht="18.75" spans="1:7">
      <c r="A28" s="128"/>
      <c r="B28" s="128"/>
      <c r="C28" s="128"/>
      <c r="D28" s="128"/>
      <c r="E28" s="128"/>
      <c r="F28" s="128"/>
      <c r="G28" s="128"/>
    </row>
    <row r="29" ht="18.75" spans="1:7">
      <c r="A29" s="128"/>
      <c r="B29" s="128"/>
      <c r="C29" s="128"/>
      <c r="D29" s="128"/>
      <c r="E29" s="128"/>
      <c r="F29" s="128"/>
      <c r="G29" s="128"/>
    </row>
    <row r="30" ht="18.75" spans="1:7">
      <c r="A30" s="128"/>
      <c r="B30" s="128"/>
      <c r="C30" s="128"/>
      <c r="D30" s="128"/>
      <c r="E30" s="128"/>
      <c r="F30" s="128"/>
      <c r="G30" s="128"/>
    </row>
    <row r="31" ht="18.75" spans="1:7">
      <c r="A31" s="128"/>
      <c r="B31" s="128"/>
      <c r="C31" s="128"/>
      <c r="D31" s="128"/>
      <c r="E31" s="128"/>
      <c r="F31" s="128"/>
      <c r="G31" s="128"/>
    </row>
    <row r="32" ht="18.75" spans="1:7">
      <c r="A32" s="128"/>
      <c r="B32" s="128"/>
      <c r="C32" s="128"/>
      <c r="D32" s="128"/>
      <c r="E32" s="128"/>
      <c r="F32" s="128"/>
      <c r="G32" s="128"/>
    </row>
    <row r="33" ht="18.75" spans="1:7">
      <c r="A33" s="128"/>
      <c r="B33" s="128"/>
      <c r="C33" s="128"/>
      <c r="D33" s="128"/>
      <c r="E33" s="128"/>
      <c r="F33" s="128"/>
      <c r="G33" s="128"/>
    </row>
    <row r="34" ht="18.75" spans="1:7">
      <c r="A34" s="128"/>
      <c r="B34" s="128"/>
      <c r="C34" s="128"/>
      <c r="D34" s="128"/>
      <c r="E34" s="128"/>
      <c r="F34" s="128"/>
      <c r="G34" s="128"/>
    </row>
    <row r="35" ht="18.75" spans="1:7">
      <c r="A35" s="128"/>
      <c r="B35" s="128"/>
      <c r="C35" s="128"/>
      <c r="D35" s="128"/>
      <c r="E35" s="128"/>
      <c r="F35" s="128"/>
      <c r="G35" s="128"/>
    </row>
    <row r="36" ht="18.75" spans="1:7">
      <c r="A36" s="128"/>
      <c r="B36" s="128"/>
      <c r="C36" s="128"/>
      <c r="D36" s="128"/>
      <c r="E36" s="128"/>
      <c r="F36" s="128"/>
      <c r="G36" s="128"/>
    </row>
    <row r="37" ht="18.75" spans="1:7">
      <c r="A37" s="128"/>
      <c r="B37" s="128"/>
      <c r="C37" s="128"/>
      <c r="D37" s="128"/>
      <c r="E37" s="128"/>
      <c r="F37" s="128"/>
      <c r="G37" s="128"/>
    </row>
    <row r="38" ht="18.75" spans="1:7">
      <c r="A38" s="128"/>
      <c r="B38" s="128"/>
      <c r="C38" s="128"/>
      <c r="D38" s="128"/>
      <c r="E38" s="128"/>
      <c r="F38" s="128"/>
      <c r="G38" s="128"/>
    </row>
    <row r="39" ht="18.75" spans="1:7">
      <c r="A39" s="128"/>
      <c r="B39" s="128"/>
      <c r="C39" s="128"/>
      <c r="D39" s="128"/>
      <c r="E39" s="128"/>
      <c r="F39" s="128"/>
      <c r="G39" s="128"/>
    </row>
    <row r="40" ht="18.75" spans="1:7">
      <c r="A40" s="128"/>
      <c r="B40" s="128"/>
      <c r="C40" s="128"/>
      <c r="D40" s="128"/>
      <c r="E40" s="128"/>
      <c r="F40" s="128"/>
      <c r="G40" s="128"/>
    </row>
    <row r="41" ht="18.75" spans="1:7">
      <c r="A41" s="128"/>
      <c r="B41" s="128"/>
      <c r="C41" s="128"/>
      <c r="D41" s="128"/>
      <c r="E41" s="128"/>
      <c r="F41" s="128"/>
      <c r="G41" s="128"/>
    </row>
    <row r="42" ht="18.75" spans="1:7">
      <c r="A42" s="128"/>
      <c r="B42" s="128"/>
      <c r="C42" s="128"/>
      <c r="D42" s="128"/>
      <c r="E42" s="128"/>
      <c r="F42" s="128"/>
      <c r="G42" s="128"/>
    </row>
    <row r="43" ht="18.75" spans="1:7">
      <c r="A43" s="128"/>
      <c r="B43" s="128"/>
      <c r="C43" s="128"/>
      <c r="D43" s="128"/>
      <c r="E43" s="128"/>
      <c r="F43" s="128"/>
      <c r="G43" s="128"/>
    </row>
    <row r="44" ht="18.75" spans="1:7">
      <c r="A44" s="128"/>
      <c r="B44" s="128"/>
      <c r="C44" s="128"/>
      <c r="D44" s="128"/>
      <c r="E44" s="128"/>
      <c r="F44" s="128"/>
      <c r="G44" s="128"/>
    </row>
    <row r="45" ht="18.75" spans="1:7">
      <c r="A45" s="128"/>
      <c r="B45" s="128"/>
      <c r="C45" s="128"/>
      <c r="D45" s="128"/>
      <c r="E45" s="128"/>
      <c r="F45" s="128"/>
      <c r="G45" s="128"/>
    </row>
    <row r="46" ht="18.75" spans="1:7">
      <c r="A46" s="128"/>
      <c r="B46" s="128"/>
      <c r="C46" s="128"/>
      <c r="D46" s="128"/>
      <c r="E46" s="128"/>
      <c r="F46" s="128"/>
      <c r="G46" s="128"/>
    </row>
    <row r="47" ht="18.75" spans="1:7">
      <c r="A47" s="128"/>
      <c r="B47" s="128"/>
      <c r="C47" s="128"/>
      <c r="D47" s="128"/>
      <c r="E47" s="128"/>
      <c r="F47" s="128"/>
      <c r="G47" s="128"/>
    </row>
    <row r="48" ht="18.75" spans="1:7">
      <c r="A48" s="128"/>
      <c r="B48" s="128"/>
      <c r="C48" s="128"/>
      <c r="D48" s="128"/>
      <c r="E48" s="128"/>
      <c r="F48" s="128"/>
      <c r="G48" s="128"/>
    </row>
    <row r="49" ht="18.75" spans="1:7">
      <c r="A49" s="128"/>
      <c r="B49" s="128"/>
      <c r="C49" s="128"/>
      <c r="D49" s="128"/>
      <c r="E49" s="128"/>
      <c r="F49" s="128"/>
      <c r="G49" s="128"/>
    </row>
    <row r="50" ht="18.75" spans="1:7">
      <c r="A50" s="128"/>
      <c r="B50" s="128"/>
      <c r="C50" s="128"/>
      <c r="D50" s="128"/>
      <c r="E50" s="128"/>
      <c r="F50" s="128"/>
      <c r="G50" s="128"/>
    </row>
    <row r="51" ht="18.75" spans="1:7">
      <c r="A51" s="128"/>
      <c r="B51" s="128"/>
      <c r="C51" s="128"/>
      <c r="D51" s="128"/>
      <c r="E51" s="128"/>
      <c r="F51" s="128"/>
      <c r="G51" s="128"/>
    </row>
    <row r="52" ht="18.75" spans="1:7">
      <c r="A52" s="128"/>
      <c r="B52" s="128"/>
      <c r="C52" s="128"/>
      <c r="D52" s="128"/>
      <c r="E52" s="128"/>
      <c r="F52" s="128"/>
      <c r="G52" s="128"/>
    </row>
    <row r="53" ht="18.75" spans="1:7">
      <c r="A53" s="128"/>
      <c r="B53" s="128"/>
      <c r="C53" s="128"/>
      <c r="D53" s="128"/>
      <c r="E53" s="128"/>
      <c r="F53" s="128"/>
      <c r="G53" s="128"/>
    </row>
    <row r="54" ht="18.75" spans="1:7">
      <c r="A54" s="128"/>
      <c r="B54" s="128"/>
      <c r="C54" s="128"/>
      <c r="D54" s="128"/>
      <c r="E54" s="128"/>
      <c r="F54" s="128"/>
      <c r="G54" s="128"/>
    </row>
    <row r="55" ht="18.75" spans="1:7">
      <c r="A55" s="128"/>
      <c r="B55" s="128"/>
      <c r="C55" s="128"/>
      <c r="D55" s="128"/>
      <c r="E55" s="128"/>
      <c r="F55" s="128"/>
      <c r="G55" s="128"/>
    </row>
    <row r="56" ht="18.75" spans="1:7">
      <c r="A56" s="128"/>
      <c r="B56" s="128"/>
      <c r="C56" s="128"/>
      <c r="D56" s="128"/>
      <c r="E56" s="128"/>
      <c r="F56" s="128"/>
      <c r="G56" s="128"/>
    </row>
    <row r="57" ht="18.75" spans="1:7">
      <c r="A57" s="128"/>
      <c r="B57" s="128"/>
      <c r="C57" s="128"/>
      <c r="D57" s="128"/>
      <c r="E57" s="128"/>
      <c r="F57" s="128"/>
      <c r="G57" s="128"/>
    </row>
    <row r="58" ht="18.75" spans="1:7">
      <c r="A58" s="128"/>
      <c r="B58" s="128"/>
      <c r="C58" s="128"/>
      <c r="D58" s="128"/>
      <c r="E58" s="128"/>
      <c r="F58" s="128"/>
      <c r="G58" s="128"/>
    </row>
    <row r="59" ht="18.75" spans="1:7">
      <c r="A59" s="128"/>
      <c r="B59" s="128"/>
      <c r="C59" s="128"/>
      <c r="D59" s="128"/>
      <c r="E59" s="128"/>
      <c r="F59" s="128"/>
      <c r="G59" s="128"/>
    </row>
    <row r="60" ht="18.75" spans="1:7">
      <c r="A60" s="128"/>
      <c r="B60" s="128"/>
      <c r="C60" s="128"/>
      <c r="D60" s="128"/>
      <c r="E60" s="128"/>
      <c r="F60" s="128"/>
      <c r="G60" s="128"/>
    </row>
    <row r="61" ht="18.75" spans="1:7">
      <c r="A61" s="128"/>
      <c r="B61" s="128"/>
      <c r="C61" s="128"/>
      <c r="D61" s="128"/>
      <c r="E61" s="128"/>
      <c r="F61" s="128"/>
      <c r="G61" s="128"/>
    </row>
    <row r="62" ht="18.75" spans="1:7">
      <c r="A62" s="128"/>
      <c r="B62" s="128"/>
      <c r="C62" s="128"/>
      <c r="D62" s="128"/>
      <c r="E62" s="128"/>
      <c r="F62" s="128"/>
      <c r="G62" s="128"/>
    </row>
    <row r="63" ht="18.75" spans="1:7">
      <c r="A63" s="128"/>
      <c r="B63" s="128"/>
      <c r="C63" s="128"/>
      <c r="D63" s="128"/>
      <c r="E63" s="128"/>
      <c r="F63" s="128"/>
      <c r="G63" s="128"/>
    </row>
    <row r="64" ht="18.75" spans="1:7">
      <c r="A64" s="128"/>
      <c r="B64" s="128"/>
      <c r="C64" s="128"/>
      <c r="D64" s="128"/>
      <c r="E64" s="128"/>
      <c r="F64" s="128"/>
      <c r="G64" s="128"/>
    </row>
    <row r="65" ht="18.75" spans="1:7">
      <c r="A65" s="128"/>
      <c r="B65" s="128"/>
      <c r="C65" s="128"/>
      <c r="D65" s="128"/>
      <c r="E65" s="128"/>
      <c r="F65" s="128"/>
      <c r="G65" s="128"/>
    </row>
    <row r="66" ht="18.75" spans="1:7">
      <c r="A66" s="128"/>
      <c r="B66" s="128"/>
      <c r="C66" s="128"/>
      <c r="D66" s="128"/>
      <c r="E66" s="128"/>
      <c r="F66" s="128"/>
      <c r="G66" s="128"/>
    </row>
    <row r="67" ht="18.75" spans="1:7">
      <c r="A67" s="128"/>
      <c r="B67" s="128"/>
      <c r="C67" s="128"/>
      <c r="D67" s="128"/>
      <c r="E67" s="128"/>
      <c r="F67" s="128"/>
      <c r="G67" s="128"/>
    </row>
    <row r="68" ht="18.75" spans="1:7">
      <c r="A68" s="128"/>
      <c r="B68" s="128"/>
      <c r="C68" s="128"/>
      <c r="D68" s="128"/>
      <c r="E68" s="128"/>
      <c r="F68" s="128"/>
      <c r="G68" s="128"/>
    </row>
    <row r="69" ht="18.75" spans="1:7">
      <c r="A69" s="128"/>
      <c r="B69" s="128"/>
      <c r="C69" s="128"/>
      <c r="D69" s="128"/>
      <c r="E69" s="128"/>
      <c r="F69" s="128"/>
      <c r="G69" s="128"/>
    </row>
    <row r="70" ht="18.75" spans="1:7">
      <c r="A70" s="128"/>
      <c r="B70" s="128"/>
      <c r="C70" s="128"/>
      <c r="D70" s="128"/>
      <c r="E70" s="128"/>
      <c r="F70" s="128"/>
      <c r="G70" s="128"/>
    </row>
    <row r="71" ht="18.75" spans="1:7">
      <c r="A71" s="128"/>
      <c r="B71" s="128"/>
      <c r="C71" s="128"/>
      <c r="D71" s="128"/>
      <c r="E71" s="128"/>
      <c r="F71" s="128"/>
      <c r="G71" s="128"/>
    </row>
    <row r="72" ht="18.75" spans="1:7">
      <c r="A72" s="128"/>
      <c r="B72" s="128"/>
      <c r="C72" s="128"/>
      <c r="D72" s="128"/>
      <c r="E72" s="128"/>
      <c r="F72" s="128"/>
      <c r="G72" s="128"/>
    </row>
    <row r="73" ht="18.75" spans="1:7">
      <c r="A73" s="128"/>
      <c r="B73" s="128"/>
      <c r="C73" s="128"/>
      <c r="D73" s="128"/>
      <c r="E73" s="128"/>
      <c r="F73" s="128"/>
      <c r="G73" s="128"/>
    </row>
    <row r="74" ht="18.75" spans="1:7">
      <c r="A74" s="128"/>
      <c r="B74" s="128"/>
      <c r="C74" s="128"/>
      <c r="D74" s="128"/>
      <c r="E74" s="128"/>
      <c r="F74" s="128"/>
      <c r="G74" s="128"/>
    </row>
    <row r="75" ht="18.75" spans="1:7">
      <c r="A75" s="128"/>
      <c r="B75" s="128"/>
      <c r="C75" s="128"/>
      <c r="D75" s="128"/>
      <c r="E75" s="128"/>
      <c r="F75" s="128"/>
      <c r="G75" s="128"/>
    </row>
    <row r="76" ht="18.75" spans="1:7">
      <c r="A76" s="128"/>
      <c r="B76" s="128"/>
      <c r="C76" s="128"/>
      <c r="D76" s="128"/>
      <c r="E76" s="128"/>
      <c r="F76" s="128"/>
      <c r="G76" s="128"/>
    </row>
    <row r="77" ht="18.75" spans="1:7">
      <c r="A77" s="128"/>
      <c r="B77" s="128"/>
      <c r="C77" s="128"/>
      <c r="D77" s="128"/>
      <c r="E77" s="128"/>
      <c r="F77" s="128"/>
      <c r="G77" s="128"/>
    </row>
    <row r="78" ht="18.75" spans="1:7">
      <c r="A78" s="128"/>
      <c r="B78" s="128"/>
      <c r="C78" s="128"/>
      <c r="D78" s="128"/>
      <c r="E78" s="128"/>
      <c r="F78" s="128"/>
      <c r="G78" s="128"/>
    </row>
    <row r="79" ht="18.75" spans="1:7">
      <c r="A79" s="128"/>
      <c r="B79" s="128"/>
      <c r="C79" s="128"/>
      <c r="D79" s="128"/>
      <c r="E79" s="128"/>
      <c r="F79" s="128"/>
      <c r="G79" s="128"/>
    </row>
    <row r="80" ht="18.75" spans="1:7">
      <c r="A80" s="128"/>
      <c r="B80" s="128"/>
      <c r="C80" s="128"/>
      <c r="D80" s="128"/>
      <c r="E80" s="128"/>
      <c r="F80" s="128"/>
      <c r="G80" s="128"/>
    </row>
    <row r="81" ht="18.75" spans="1:7">
      <c r="A81" s="128"/>
      <c r="B81" s="128"/>
      <c r="C81" s="128"/>
      <c r="D81" s="128"/>
      <c r="E81" s="128"/>
      <c r="F81" s="128"/>
      <c r="G81" s="128"/>
    </row>
    <row r="82" ht="18.75" spans="1:7">
      <c r="A82" s="128"/>
      <c r="B82" s="128"/>
      <c r="C82" s="128"/>
      <c r="D82" s="128"/>
      <c r="E82" s="128"/>
      <c r="F82" s="128"/>
      <c r="G82" s="128"/>
    </row>
    <row r="83" ht="18.75" spans="1:7">
      <c r="A83" s="128"/>
      <c r="B83" s="128"/>
      <c r="C83" s="128"/>
      <c r="D83" s="128"/>
      <c r="E83" s="128"/>
      <c r="F83" s="128"/>
      <c r="G83" s="128"/>
    </row>
    <row r="84" ht="18.75" spans="1:7">
      <c r="A84" s="128"/>
      <c r="B84" s="128"/>
      <c r="C84" s="128"/>
      <c r="D84" s="128"/>
      <c r="E84" s="128"/>
      <c r="F84" s="128"/>
      <c r="G84" s="128"/>
    </row>
    <row r="85" ht="18.75" spans="1:7">
      <c r="A85" s="128"/>
      <c r="B85" s="128"/>
      <c r="C85" s="128"/>
      <c r="D85" s="128"/>
      <c r="E85" s="128"/>
      <c r="F85" s="128"/>
      <c r="G85" s="128"/>
    </row>
    <row r="86" ht="18.75" spans="1:7">
      <c r="A86" s="128"/>
      <c r="B86" s="128"/>
      <c r="C86" s="128"/>
      <c r="D86" s="128"/>
      <c r="E86" s="128"/>
      <c r="F86" s="128"/>
      <c r="G86" s="128"/>
    </row>
    <row r="87" ht="18.75" spans="1:7">
      <c r="A87" s="128"/>
      <c r="B87" s="128"/>
      <c r="C87" s="128"/>
      <c r="D87" s="128"/>
      <c r="E87" s="128"/>
      <c r="F87" s="128"/>
      <c r="G87" s="128"/>
    </row>
    <row r="88" ht="18.75" spans="1:7">
      <c r="A88" s="128"/>
      <c r="B88" s="128"/>
      <c r="C88" s="128"/>
      <c r="D88" s="128"/>
      <c r="E88" s="128"/>
      <c r="F88" s="128"/>
      <c r="G88" s="128"/>
    </row>
    <row r="89" ht="18.75" spans="1:7">
      <c r="A89" s="128"/>
      <c r="B89" s="128"/>
      <c r="C89" s="128"/>
      <c r="D89" s="128"/>
      <c r="E89" s="128"/>
      <c r="F89" s="128"/>
      <c r="G89" s="128"/>
    </row>
    <row r="90" ht="18.75" spans="1:7">
      <c r="A90" s="128"/>
      <c r="B90" s="128"/>
      <c r="C90" s="128"/>
      <c r="D90" s="128"/>
      <c r="E90" s="128"/>
      <c r="F90" s="128"/>
      <c r="G90" s="128"/>
    </row>
    <row r="91" ht="18.75" spans="1:7">
      <c r="A91" s="128"/>
      <c r="B91" s="128"/>
      <c r="C91" s="128"/>
      <c r="D91" s="128"/>
      <c r="E91" s="128"/>
      <c r="F91" s="128"/>
      <c r="G91" s="128"/>
    </row>
    <row r="92" ht="18.75" spans="1:7">
      <c r="A92" s="128"/>
      <c r="B92" s="128"/>
      <c r="C92" s="128"/>
      <c r="D92" s="128"/>
      <c r="E92" s="128"/>
      <c r="F92" s="128"/>
      <c r="G92" s="128"/>
    </row>
    <row r="93" ht="18.75" spans="1:7">
      <c r="A93" s="128"/>
      <c r="B93" s="128"/>
      <c r="C93" s="128"/>
      <c r="D93" s="128"/>
      <c r="E93" s="128"/>
      <c r="F93" s="128"/>
      <c r="G93" s="128"/>
    </row>
    <row r="94" ht="18.75" spans="1:7">
      <c r="A94" s="128"/>
      <c r="B94" s="128"/>
      <c r="C94" s="128"/>
      <c r="D94" s="128"/>
      <c r="E94" s="128"/>
      <c r="F94" s="128"/>
      <c r="G94" s="128"/>
    </row>
    <row r="95" ht="18.75" spans="1:7">
      <c r="A95" s="128"/>
      <c r="B95" s="128"/>
      <c r="C95" s="128"/>
      <c r="D95" s="128"/>
      <c r="E95" s="128"/>
      <c r="F95" s="128"/>
      <c r="G95" s="128"/>
    </row>
    <row r="96" ht="18.75" spans="1:7">
      <c r="A96" s="128"/>
      <c r="B96" s="128"/>
      <c r="C96" s="128"/>
      <c r="D96" s="128"/>
      <c r="E96" s="128"/>
      <c r="F96" s="128"/>
      <c r="G96" s="128"/>
    </row>
    <row r="97" ht="18.75" spans="1:7">
      <c r="A97" s="128"/>
      <c r="B97" s="128"/>
      <c r="C97" s="128"/>
      <c r="D97" s="128"/>
      <c r="E97" s="128"/>
      <c r="F97" s="128"/>
      <c r="G97" s="128"/>
    </row>
    <row r="98" ht="18.75" spans="1:7">
      <c r="A98" s="128"/>
      <c r="B98" s="128"/>
      <c r="C98" s="128"/>
      <c r="D98" s="128"/>
      <c r="E98" s="128"/>
      <c r="F98" s="128"/>
      <c r="G98" s="128"/>
    </row>
    <row r="99" ht="18.75" spans="1:7">
      <c r="A99" s="128"/>
      <c r="B99" s="128"/>
      <c r="C99" s="128"/>
      <c r="D99" s="128"/>
      <c r="E99" s="128"/>
      <c r="F99" s="128"/>
      <c r="G99" s="128"/>
    </row>
    <row r="100" ht="18.75" spans="1:7">
      <c r="A100" s="128"/>
      <c r="B100" s="128"/>
      <c r="C100" s="128"/>
      <c r="D100" s="128"/>
      <c r="E100" s="128"/>
      <c r="F100" s="128"/>
      <c r="G100" s="128"/>
    </row>
    <row r="101" ht="18.75" spans="1:7">
      <c r="A101" s="128"/>
      <c r="B101" s="128"/>
      <c r="C101" s="128"/>
      <c r="D101" s="128"/>
      <c r="E101" s="128"/>
      <c r="F101" s="128"/>
      <c r="G101" s="128"/>
    </row>
    <row r="102" ht="18.75" spans="1:7">
      <c r="A102" s="128"/>
      <c r="B102" s="128"/>
      <c r="C102" s="128"/>
      <c r="D102" s="128"/>
      <c r="E102" s="128"/>
      <c r="F102" s="128"/>
      <c r="G102" s="128"/>
    </row>
    <row r="103" ht="18.75" spans="1:7">
      <c r="A103" s="128"/>
      <c r="B103" s="128"/>
      <c r="C103" s="128"/>
      <c r="D103" s="128"/>
      <c r="E103" s="128"/>
      <c r="F103" s="128"/>
      <c r="G103" s="128"/>
    </row>
    <row r="104" ht="18.75" spans="1:7">
      <c r="A104" s="128"/>
      <c r="B104" s="128"/>
      <c r="C104" s="128"/>
      <c r="D104" s="128"/>
      <c r="E104" s="128"/>
      <c r="F104" s="128"/>
      <c r="G104" s="128"/>
    </row>
    <row r="105" ht="18.75" spans="1:7">
      <c r="A105" s="128"/>
      <c r="B105" s="128"/>
      <c r="C105" s="128"/>
      <c r="D105" s="128"/>
      <c r="E105" s="128"/>
      <c r="F105" s="128"/>
      <c r="G105" s="128"/>
    </row>
    <row r="106" ht="18.75" spans="1:7">
      <c r="A106" s="128"/>
      <c r="B106" s="128"/>
      <c r="C106" s="128"/>
      <c r="D106" s="128"/>
      <c r="E106" s="128"/>
      <c r="F106" s="128"/>
      <c r="G106" s="128"/>
    </row>
    <row r="107" ht="18.75" spans="1:7">
      <c r="A107" s="128"/>
      <c r="B107" s="128"/>
      <c r="C107" s="128"/>
      <c r="D107" s="128"/>
      <c r="E107" s="128"/>
      <c r="F107" s="128"/>
      <c r="G107" s="128"/>
    </row>
    <row r="108" ht="18.75" spans="1:7">
      <c r="A108" s="128"/>
      <c r="B108" s="128"/>
      <c r="C108" s="128"/>
      <c r="D108" s="128"/>
      <c r="E108" s="128"/>
      <c r="F108" s="128"/>
      <c r="G108" s="128"/>
    </row>
    <row r="109" ht="18.75" spans="1:7">
      <c r="A109" s="128"/>
      <c r="B109" s="128"/>
      <c r="C109" s="128"/>
      <c r="D109" s="128"/>
      <c r="E109" s="128"/>
      <c r="F109" s="128"/>
      <c r="G109" s="128"/>
    </row>
    <row r="110" ht="18.75" spans="1:7">
      <c r="A110" s="128"/>
      <c r="B110" s="128"/>
      <c r="C110" s="128"/>
      <c r="D110" s="128"/>
      <c r="E110" s="128"/>
      <c r="F110" s="128"/>
      <c r="G110" s="128"/>
    </row>
    <row r="111" ht="18.75" spans="1:7">
      <c r="A111" s="128"/>
      <c r="B111" s="128"/>
      <c r="C111" s="128"/>
      <c r="D111" s="128"/>
      <c r="E111" s="128"/>
      <c r="F111" s="128"/>
      <c r="G111" s="128"/>
    </row>
    <row r="112" ht="18.75" spans="1:7">
      <c r="A112" s="128"/>
      <c r="B112" s="128"/>
      <c r="C112" s="128"/>
      <c r="D112" s="128"/>
      <c r="E112" s="128"/>
      <c r="F112" s="128"/>
      <c r="G112" s="128"/>
    </row>
    <row r="113" ht="18.75" spans="1:7">
      <c r="A113" s="128"/>
      <c r="B113" s="128"/>
      <c r="C113" s="128"/>
      <c r="D113" s="128"/>
      <c r="E113" s="128"/>
      <c r="F113" s="128"/>
      <c r="G113" s="128"/>
    </row>
    <row r="114" ht="18.75" spans="1:7">
      <c r="A114" s="128"/>
      <c r="B114" s="128"/>
      <c r="C114" s="128"/>
      <c r="D114" s="128"/>
      <c r="E114" s="128"/>
      <c r="F114" s="128"/>
      <c r="G114" s="128"/>
    </row>
    <row r="115" ht="18.75" spans="1:7">
      <c r="A115" s="128"/>
      <c r="B115" s="128"/>
      <c r="C115" s="128"/>
      <c r="D115" s="128"/>
      <c r="E115" s="128"/>
      <c r="F115" s="128"/>
      <c r="G115" s="128"/>
    </row>
    <row r="116" ht="18.75" spans="1:7">
      <c r="A116" s="128"/>
      <c r="B116" s="128"/>
      <c r="C116" s="128"/>
      <c r="D116" s="128"/>
      <c r="E116" s="128"/>
      <c r="F116" s="128"/>
      <c r="G116" s="128"/>
    </row>
    <row r="117" ht="18.75" spans="1:7">
      <c r="A117" s="128"/>
      <c r="B117" s="128"/>
      <c r="C117" s="128"/>
      <c r="D117" s="128"/>
      <c r="E117" s="128"/>
      <c r="F117" s="128"/>
      <c r="G117" s="128"/>
    </row>
    <row r="118" ht="18.75" spans="1:7">
      <c r="A118" s="128"/>
      <c r="B118" s="128"/>
      <c r="C118" s="128"/>
      <c r="D118" s="128"/>
      <c r="E118" s="128"/>
      <c r="F118" s="128"/>
      <c r="G118" s="128"/>
    </row>
    <row r="119" ht="18.75" spans="1:7">
      <c r="A119" s="128"/>
      <c r="B119" s="128"/>
      <c r="C119" s="128"/>
      <c r="D119" s="128"/>
      <c r="E119" s="128"/>
      <c r="F119" s="128"/>
      <c r="G119" s="128"/>
    </row>
    <row r="120" ht="18.75" spans="1:7">
      <c r="A120" s="128"/>
      <c r="B120" s="128"/>
      <c r="C120" s="128"/>
      <c r="D120" s="128"/>
      <c r="E120" s="128"/>
      <c r="F120" s="128"/>
      <c r="G120" s="128"/>
    </row>
    <row r="121" ht="18.75" spans="1:7">
      <c r="A121" s="128"/>
      <c r="B121" s="128"/>
      <c r="C121" s="128"/>
      <c r="D121" s="128"/>
      <c r="E121" s="128"/>
      <c r="F121" s="128"/>
      <c r="G121" s="128"/>
    </row>
    <row r="122" ht="18.75" spans="1:7">
      <c r="A122" s="128"/>
      <c r="B122" s="128"/>
      <c r="C122" s="128"/>
      <c r="D122" s="128"/>
      <c r="E122" s="128"/>
      <c r="F122" s="128"/>
      <c r="G122" s="128"/>
    </row>
    <row r="123" ht="18.75" spans="1:7">
      <c r="A123" s="128"/>
      <c r="B123" s="128"/>
      <c r="C123" s="128"/>
      <c r="D123" s="128"/>
      <c r="E123" s="128"/>
      <c r="F123" s="128"/>
      <c r="G123" s="128"/>
    </row>
    <row r="124" ht="18.75" spans="1:7">
      <c r="A124" s="128"/>
      <c r="B124" s="128"/>
      <c r="C124" s="128"/>
      <c r="D124" s="128"/>
      <c r="E124" s="128"/>
      <c r="F124" s="128"/>
      <c r="G124" s="128"/>
    </row>
    <row r="125" ht="18.75" spans="1:7">
      <c r="A125" s="128"/>
      <c r="B125" s="128"/>
      <c r="C125" s="128"/>
      <c r="D125" s="128"/>
      <c r="E125" s="128"/>
      <c r="F125" s="128"/>
      <c r="G125" s="128"/>
    </row>
    <row r="126" ht="18.75" spans="1:7">
      <c r="A126" s="128"/>
      <c r="B126" s="128"/>
      <c r="C126" s="128"/>
      <c r="D126" s="128"/>
      <c r="E126" s="128"/>
      <c r="F126" s="128"/>
      <c r="G126" s="128"/>
    </row>
    <row r="127" ht="18.75" spans="1:7">
      <c r="A127" s="128"/>
      <c r="B127" s="128"/>
      <c r="C127" s="128"/>
      <c r="D127" s="128"/>
      <c r="E127" s="128"/>
      <c r="F127" s="128"/>
      <c r="G127" s="128"/>
    </row>
    <row r="128" ht="18.75" spans="1:7">
      <c r="A128" s="128"/>
      <c r="B128" s="128"/>
      <c r="C128" s="128"/>
      <c r="D128" s="128"/>
      <c r="E128" s="128"/>
      <c r="F128" s="128"/>
      <c r="G128" s="128"/>
    </row>
    <row r="129" ht="18.75" spans="1:7">
      <c r="A129" s="128"/>
      <c r="B129" s="128"/>
      <c r="C129" s="128"/>
      <c r="D129" s="128"/>
      <c r="E129" s="128"/>
      <c r="F129" s="128"/>
      <c r="G129" s="128"/>
    </row>
    <row r="130" ht="18.75" spans="1:7">
      <c r="A130" s="128"/>
      <c r="B130" s="128"/>
      <c r="C130" s="128"/>
      <c r="D130" s="128"/>
      <c r="E130" s="128"/>
      <c r="F130" s="128"/>
      <c r="G130" s="128"/>
    </row>
    <row r="131" ht="18.75" spans="1:7">
      <c r="A131" s="128"/>
      <c r="B131" s="128"/>
      <c r="C131" s="128"/>
      <c r="D131" s="128"/>
      <c r="E131" s="128"/>
      <c r="F131" s="128"/>
      <c r="G131" s="128"/>
    </row>
    <row r="132" ht="18.75" spans="1:7">
      <c r="A132" s="128"/>
      <c r="B132" s="128"/>
      <c r="C132" s="128"/>
      <c r="D132" s="128"/>
      <c r="E132" s="128"/>
      <c r="F132" s="128"/>
      <c r="G132" s="128"/>
    </row>
    <row r="133" ht="18.75" spans="1:7">
      <c r="A133" s="128"/>
      <c r="B133" s="128"/>
      <c r="C133" s="128"/>
      <c r="D133" s="128"/>
      <c r="E133" s="128"/>
      <c r="F133" s="128"/>
      <c r="G133" s="128"/>
    </row>
    <row r="134" ht="18.75" spans="1:7">
      <c r="A134" s="128"/>
      <c r="B134" s="128"/>
      <c r="C134" s="128"/>
      <c r="D134" s="128"/>
      <c r="E134" s="128"/>
      <c r="F134" s="128"/>
      <c r="G134" s="128"/>
    </row>
    <row r="135" ht="18.75" spans="1:7">
      <c r="A135" s="128"/>
      <c r="B135" s="128"/>
      <c r="C135" s="128"/>
      <c r="D135" s="128"/>
      <c r="E135" s="128"/>
      <c r="F135" s="128"/>
      <c r="G135" s="128"/>
    </row>
    <row r="136" ht="18.75" spans="1:7">
      <c r="A136" s="128"/>
      <c r="B136" s="128"/>
      <c r="C136" s="128"/>
      <c r="D136" s="128"/>
      <c r="E136" s="128"/>
      <c r="F136" s="128"/>
      <c r="G136" s="128"/>
    </row>
    <row r="137" ht="18.75" spans="1:7">
      <c r="A137" s="128"/>
      <c r="B137" s="128"/>
      <c r="C137" s="128"/>
      <c r="D137" s="128"/>
      <c r="E137" s="128"/>
      <c r="F137" s="128"/>
      <c r="G137" s="128"/>
    </row>
    <row r="138" ht="18.75" spans="1:7">
      <c r="A138" s="128"/>
      <c r="B138" s="128"/>
      <c r="C138" s="128"/>
      <c r="D138" s="128"/>
      <c r="E138" s="128"/>
      <c r="F138" s="128"/>
      <c r="G138" s="128"/>
    </row>
    <row r="139" ht="18.75" spans="1:7">
      <c r="A139" s="128"/>
      <c r="B139" s="128"/>
      <c r="C139" s="128"/>
      <c r="D139" s="128"/>
      <c r="E139" s="128"/>
      <c r="F139" s="128"/>
      <c r="G139" s="128"/>
    </row>
    <row r="140" ht="18.75" spans="1:7">
      <c r="A140" s="128"/>
      <c r="B140" s="128"/>
      <c r="C140" s="128"/>
      <c r="D140" s="128"/>
      <c r="E140" s="128"/>
      <c r="F140" s="128"/>
      <c r="G140" s="128"/>
    </row>
    <row r="141" ht="18.75" spans="1:7">
      <c r="A141" s="128"/>
      <c r="B141" s="128"/>
      <c r="C141" s="128"/>
      <c r="D141" s="128"/>
      <c r="E141" s="128"/>
      <c r="F141" s="128"/>
      <c r="G141" s="128"/>
    </row>
    <row r="142" ht="18.75" spans="1:7">
      <c r="A142" s="128"/>
      <c r="B142" s="128"/>
      <c r="C142" s="128"/>
      <c r="D142" s="128"/>
      <c r="E142" s="128"/>
      <c r="F142" s="128"/>
      <c r="G142" s="128"/>
    </row>
    <row r="143" ht="18.75" spans="1:7">
      <c r="A143" s="128"/>
      <c r="B143" s="128"/>
      <c r="C143" s="128"/>
      <c r="D143" s="128"/>
      <c r="E143" s="128"/>
      <c r="F143" s="128"/>
      <c r="G143" s="128"/>
    </row>
    <row r="144" ht="18.75" spans="1:7">
      <c r="A144" s="128"/>
      <c r="B144" s="128"/>
      <c r="C144" s="128"/>
      <c r="D144" s="128"/>
      <c r="E144" s="128"/>
      <c r="F144" s="128"/>
      <c r="G144" s="128"/>
    </row>
    <row r="145" ht="18.75" spans="1:7">
      <c r="A145" s="128"/>
      <c r="B145" s="128"/>
      <c r="C145" s="128"/>
      <c r="D145" s="128"/>
      <c r="E145" s="128"/>
      <c r="F145" s="128"/>
      <c r="G145" s="128"/>
    </row>
    <row r="146" ht="18.75" spans="1:7">
      <c r="A146" s="128"/>
      <c r="B146" s="128"/>
      <c r="C146" s="128"/>
      <c r="D146" s="128"/>
      <c r="E146" s="128"/>
      <c r="F146" s="128"/>
      <c r="G146" s="128"/>
    </row>
    <row r="147" ht="18.75" spans="1:7">
      <c r="A147" s="128"/>
      <c r="B147" s="128"/>
      <c r="C147" s="128"/>
      <c r="D147" s="128"/>
      <c r="E147" s="128"/>
      <c r="F147" s="128"/>
      <c r="G147" s="128"/>
    </row>
    <row r="148" ht="18.75" spans="1:7">
      <c r="A148" s="128"/>
      <c r="B148" s="128"/>
      <c r="C148" s="128"/>
      <c r="D148" s="128"/>
      <c r="E148" s="128"/>
      <c r="F148" s="128"/>
      <c r="G148" s="128"/>
    </row>
    <row r="149" ht="18.75" spans="1:7">
      <c r="A149" s="128"/>
      <c r="B149" s="128"/>
      <c r="C149" s="128"/>
      <c r="D149" s="128"/>
      <c r="E149" s="128"/>
      <c r="F149" s="128"/>
      <c r="G149" s="128"/>
    </row>
    <row r="150" ht="18.75" spans="1:7">
      <c r="A150" s="128"/>
      <c r="B150" s="128"/>
      <c r="C150" s="128"/>
      <c r="D150" s="128"/>
      <c r="E150" s="128"/>
      <c r="F150" s="128"/>
      <c r="G150" s="128"/>
    </row>
    <row r="151" ht="18.75" spans="1:7">
      <c r="A151" s="128"/>
      <c r="B151" s="128"/>
      <c r="C151" s="128"/>
      <c r="D151" s="128"/>
      <c r="E151" s="128"/>
      <c r="F151" s="128"/>
      <c r="G151" s="128"/>
    </row>
    <row r="152" ht="18.75" spans="1:7">
      <c r="A152" s="128"/>
      <c r="B152" s="128"/>
      <c r="C152" s="128"/>
      <c r="D152" s="128"/>
      <c r="E152" s="128"/>
      <c r="F152" s="128"/>
      <c r="G152" s="128"/>
    </row>
    <row r="153" ht="18.75" spans="1:7">
      <c r="A153" s="128"/>
      <c r="B153" s="128"/>
      <c r="C153" s="128"/>
      <c r="D153" s="128"/>
      <c r="E153" s="128"/>
      <c r="F153" s="128"/>
      <c r="G153" s="128"/>
    </row>
    <row r="154" ht="18.75" spans="1:7">
      <c r="A154" s="128"/>
      <c r="B154" s="128"/>
      <c r="C154" s="128"/>
      <c r="D154" s="128"/>
      <c r="E154" s="128"/>
      <c r="F154" s="128"/>
      <c r="G154" s="128"/>
    </row>
    <row r="155" ht="18.75" spans="1:7">
      <c r="A155" s="128"/>
      <c r="B155" s="128"/>
      <c r="C155" s="128"/>
      <c r="D155" s="128"/>
      <c r="E155" s="128"/>
      <c r="F155" s="128"/>
      <c r="G155" s="128"/>
    </row>
    <row r="156" ht="18.75" spans="1:7">
      <c r="A156" s="128"/>
      <c r="B156" s="128"/>
      <c r="C156" s="128"/>
      <c r="D156" s="128"/>
      <c r="E156" s="128"/>
      <c r="F156" s="128"/>
      <c r="G156" s="128"/>
    </row>
    <row r="157" ht="18.75" spans="1:7">
      <c r="A157" s="128"/>
      <c r="B157" s="128"/>
      <c r="C157" s="128"/>
      <c r="D157" s="128"/>
      <c r="E157" s="128"/>
      <c r="F157" s="128"/>
      <c r="G157" s="128"/>
    </row>
    <row r="158" ht="18.75" spans="1:7">
      <c r="A158" s="128"/>
      <c r="B158" s="128"/>
      <c r="C158" s="128"/>
      <c r="D158" s="128"/>
      <c r="E158" s="128"/>
      <c r="F158" s="128"/>
      <c r="G158" s="128"/>
    </row>
    <row r="159" ht="18.75" spans="1:7">
      <c r="A159" s="128"/>
      <c r="B159" s="128"/>
      <c r="C159" s="128"/>
      <c r="D159" s="128"/>
      <c r="E159" s="128"/>
      <c r="F159" s="128"/>
      <c r="G159" s="128"/>
    </row>
    <row r="160" ht="18.75" spans="1:7">
      <c r="A160" s="128"/>
      <c r="B160" s="128"/>
      <c r="C160" s="128"/>
      <c r="D160" s="128"/>
      <c r="E160" s="128"/>
      <c r="F160" s="128"/>
      <c r="G160" s="128"/>
    </row>
    <row r="161" ht="18.75" spans="1:7">
      <c r="A161" s="128"/>
      <c r="B161" s="128"/>
      <c r="C161" s="128"/>
      <c r="D161" s="128"/>
      <c r="E161" s="128"/>
      <c r="F161" s="128"/>
      <c r="G161" s="128"/>
    </row>
    <row r="162" ht="18.75" spans="1:7">
      <c r="A162" s="128"/>
      <c r="B162" s="128"/>
      <c r="C162" s="128"/>
      <c r="D162" s="128"/>
      <c r="E162" s="128"/>
      <c r="F162" s="128"/>
      <c r="G162" s="128"/>
    </row>
    <row r="163" ht="18.75" spans="1:7">
      <c r="A163" s="128"/>
      <c r="B163" s="128"/>
      <c r="C163" s="128"/>
      <c r="D163" s="128"/>
      <c r="E163" s="128"/>
      <c r="F163" s="128"/>
      <c r="G163" s="128"/>
    </row>
    <row r="164" ht="18.75" spans="1:7">
      <c r="A164" s="128"/>
      <c r="B164" s="128"/>
      <c r="C164" s="128"/>
      <c r="D164" s="128"/>
      <c r="E164" s="128"/>
      <c r="F164" s="128"/>
      <c r="G164" s="128"/>
    </row>
    <row r="165" ht="18.75" spans="1:7">
      <c r="A165" s="128"/>
      <c r="B165" s="128"/>
      <c r="C165" s="128"/>
      <c r="D165" s="128"/>
      <c r="E165" s="128"/>
      <c r="F165" s="128"/>
      <c r="G165" s="128"/>
    </row>
    <row r="166" ht="18.75" spans="1:7">
      <c r="A166" s="128"/>
      <c r="B166" s="128"/>
      <c r="C166" s="128"/>
      <c r="D166" s="128"/>
      <c r="E166" s="128"/>
      <c r="F166" s="128"/>
      <c r="G166" s="128"/>
    </row>
    <row r="167" ht="18.75" spans="1:7">
      <c r="A167" s="128"/>
      <c r="B167" s="128"/>
      <c r="C167" s="128"/>
      <c r="D167" s="128"/>
      <c r="E167" s="128"/>
      <c r="F167" s="128"/>
      <c r="G167" s="128"/>
    </row>
    <row r="168" ht="18.75" spans="1:7">
      <c r="A168" s="128"/>
      <c r="B168" s="128"/>
      <c r="C168" s="128"/>
      <c r="D168" s="128"/>
      <c r="E168" s="128"/>
      <c r="F168" s="128"/>
      <c r="G168" s="128"/>
    </row>
    <row r="169" ht="18.75" spans="1:7">
      <c r="A169" s="128"/>
      <c r="B169" s="128"/>
      <c r="C169" s="128"/>
      <c r="D169" s="128"/>
      <c r="E169" s="128"/>
      <c r="F169" s="128"/>
      <c r="G169" s="128"/>
    </row>
    <row r="170" ht="18.75" spans="1:7">
      <c r="A170" s="128"/>
      <c r="B170" s="128"/>
      <c r="C170" s="128"/>
      <c r="D170" s="128"/>
      <c r="E170" s="128"/>
      <c r="F170" s="128"/>
      <c r="G170" s="128"/>
    </row>
    <row r="171" ht="18.75" spans="1:7">
      <c r="A171" s="128"/>
      <c r="B171" s="128"/>
      <c r="C171" s="128"/>
      <c r="D171" s="128"/>
      <c r="E171" s="128"/>
      <c r="F171" s="128"/>
      <c r="G171" s="128"/>
    </row>
    <row r="172" ht="18.75" spans="1:7">
      <c r="A172" s="128"/>
      <c r="B172" s="128"/>
      <c r="C172" s="128"/>
      <c r="D172" s="128"/>
      <c r="E172" s="128"/>
      <c r="F172" s="128"/>
      <c r="G172" s="128"/>
    </row>
    <row r="173" ht="18.75" spans="1:7">
      <c r="A173" s="128"/>
      <c r="B173" s="128"/>
      <c r="C173" s="128"/>
      <c r="D173" s="128"/>
      <c r="E173" s="128"/>
      <c r="F173" s="128"/>
      <c r="G173" s="128"/>
    </row>
    <row r="174" ht="18.75" spans="1:7">
      <c r="A174" s="128"/>
      <c r="B174" s="128"/>
      <c r="C174" s="128"/>
      <c r="D174" s="128"/>
      <c r="E174" s="128"/>
      <c r="F174" s="128"/>
      <c r="G174" s="128"/>
    </row>
    <row r="175" ht="18.75" spans="1:7">
      <c r="A175" s="128"/>
      <c r="B175" s="128"/>
      <c r="C175" s="128"/>
      <c r="D175" s="128"/>
      <c r="E175" s="128"/>
      <c r="F175" s="128"/>
      <c r="G175" s="128"/>
    </row>
    <row r="176" ht="18.75" spans="1:7">
      <c r="A176" s="128"/>
      <c r="B176" s="128"/>
      <c r="C176" s="128"/>
      <c r="D176" s="128"/>
      <c r="E176" s="128"/>
      <c r="F176" s="128"/>
      <c r="G176" s="128"/>
    </row>
    <row r="177" ht="18.75" spans="1:7">
      <c r="A177" s="128"/>
      <c r="B177" s="128"/>
      <c r="C177" s="128"/>
      <c r="D177" s="128"/>
      <c r="E177" s="128"/>
      <c r="F177" s="128"/>
      <c r="G177" s="128"/>
    </row>
    <row r="178" ht="18.75" spans="1:7">
      <c r="A178" s="128"/>
      <c r="B178" s="128"/>
      <c r="C178" s="128"/>
      <c r="D178" s="128"/>
      <c r="E178" s="128"/>
      <c r="F178" s="128"/>
      <c r="G178" s="128"/>
    </row>
    <row r="179" ht="18.75" spans="1:7">
      <c r="A179" s="128"/>
      <c r="B179" s="128"/>
      <c r="C179" s="128"/>
      <c r="D179" s="128"/>
      <c r="E179" s="128"/>
      <c r="F179" s="128"/>
      <c r="G179" s="128"/>
    </row>
    <row r="180" ht="18.75" spans="1:7">
      <c r="A180" s="128"/>
      <c r="B180" s="128"/>
      <c r="C180" s="128"/>
      <c r="D180" s="128"/>
      <c r="E180" s="128"/>
      <c r="F180" s="128"/>
      <c r="G180" s="128"/>
    </row>
    <row r="181" ht="18.75" spans="1:7">
      <c r="A181" s="128"/>
      <c r="B181" s="128"/>
      <c r="C181" s="128"/>
      <c r="D181" s="128"/>
      <c r="E181" s="128"/>
      <c r="F181" s="128"/>
      <c r="G181" s="128"/>
    </row>
    <row r="182" ht="18.75" spans="1:7">
      <c r="A182" s="128"/>
      <c r="B182" s="128"/>
      <c r="C182" s="128"/>
      <c r="D182" s="128"/>
      <c r="E182" s="128"/>
      <c r="F182" s="128"/>
      <c r="G182" s="128"/>
    </row>
    <row r="183" ht="18.75" spans="1:7">
      <c r="A183" s="128"/>
      <c r="B183" s="128"/>
      <c r="C183" s="128"/>
      <c r="D183" s="128"/>
      <c r="E183" s="128"/>
      <c r="F183" s="128"/>
      <c r="G183" s="128"/>
    </row>
    <row r="184" ht="18.75" spans="1:7">
      <c r="A184" s="128"/>
      <c r="B184" s="128"/>
      <c r="C184" s="128"/>
      <c r="D184" s="128"/>
      <c r="E184" s="128"/>
      <c r="F184" s="128"/>
      <c r="G184" s="128"/>
    </row>
    <row r="185" ht="18.75" spans="1:7">
      <c r="A185" s="128"/>
      <c r="B185" s="128"/>
      <c r="C185" s="128"/>
      <c r="D185" s="128"/>
      <c r="E185" s="128"/>
      <c r="F185" s="128"/>
      <c r="G185" s="128"/>
    </row>
    <row r="186" ht="18.75" spans="1:7">
      <c r="A186" s="128"/>
      <c r="B186" s="128"/>
      <c r="C186" s="128"/>
      <c r="D186" s="128"/>
      <c r="E186" s="128"/>
      <c r="F186" s="128"/>
      <c r="G186" s="128"/>
    </row>
    <row r="187" ht="18.75" spans="1:7">
      <c r="A187" s="128"/>
      <c r="B187" s="128"/>
      <c r="C187" s="128"/>
      <c r="D187" s="128"/>
      <c r="E187" s="128"/>
      <c r="F187" s="128"/>
      <c r="G187" s="128"/>
    </row>
    <row r="188" ht="18.75" spans="1:7">
      <c r="A188" s="128"/>
      <c r="B188" s="128"/>
      <c r="C188" s="128"/>
      <c r="D188" s="128"/>
      <c r="E188" s="128"/>
      <c r="F188" s="128"/>
      <c r="G188" s="128"/>
    </row>
    <row r="189" ht="18.75" spans="1:7">
      <c r="A189" s="128"/>
      <c r="B189" s="128"/>
      <c r="C189" s="128"/>
      <c r="D189" s="128"/>
      <c r="E189" s="128"/>
      <c r="F189" s="128"/>
      <c r="G189" s="128"/>
    </row>
    <row r="190" ht="18.75" spans="1:7">
      <c r="A190" s="128"/>
      <c r="B190" s="128"/>
      <c r="C190" s="128"/>
      <c r="D190" s="128"/>
      <c r="E190" s="128"/>
      <c r="F190" s="128"/>
      <c r="G190" s="128"/>
    </row>
    <row r="191" ht="18.75" spans="1:7">
      <c r="A191" s="128"/>
      <c r="B191" s="128"/>
      <c r="C191" s="128"/>
      <c r="D191" s="128"/>
      <c r="E191" s="128"/>
      <c r="F191" s="128"/>
      <c r="G191" s="128"/>
    </row>
    <row r="192" ht="18.75" spans="1:7">
      <c r="A192" s="128"/>
      <c r="B192" s="128"/>
      <c r="C192" s="128"/>
      <c r="D192" s="128"/>
      <c r="E192" s="128"/>
      <c r="F192" s="128"/>
      <c r="G192" s="128"/>
    </row>
    <row r="193" ht="18.75" spans="1:7">
      <c r="A193" s="128"/>
      <c r="B193" s="128"/>
      <c r="C193" s="128"/>
      <c r="D193" s="128"/>
      <c r="E193" s="128"/>
      <c r="F193" s="128"/>
      <c r="G193" s="128"/>
    </row>
    <row r="194" ht="18.75" spans="1:7">
      <c r="A194" s="128"/>
      <c r="B194" s="128"/>
      <c r="C194" s="128"/>
      <c r="D194" s="128"/>
      <c r="E194" s="128"/>
      <c r="F194" s="128"/>
      <c r="G194" s="128"/>
    </row>
    <row r="195" ht="18.75" spans="1:7">
      <c r="A195" s="128"/>
      <c r="B195" s="128"/>
      <c r="C195" s="128"/>
      <c r="D195" s="128"/>
      <c r="E195" s="128"/>
      <c r="F195" s="128"/>
      <c r="G195" s="128"/>
    </row>
    <row r="196" ht="18.75" spans="1:7">
      <c r="A196" s="128"/>
      <c r="B196" s="128"/>
      <c r="C196" s="128"/>
      <c r="D196" s="128"/>
      <c r="E196" s="128"/>
      <c r="F196" s="128"/>
      <c r="G196" s="128"/>
    </row>
    <row r="197" ht="18.75" spans="1:7">
      <c r="A197" s="128"/>
      <c r="B197" s="128"/>
      <c r="C197" s="128"/>
      <c r="D197" s="128"/>
      <c r="E197" s="128"/>
      <c r="F197" s="128"/>
      <c r="G197" s="128"/>
    </row>
    <row r="198" ht="18.75" spans="1:7">
      <c r="A198" s="128"/>
      <c r="B198" s="128"/>
      <c r="C198" s="128"/>
      <c r="D198" s="128"/>
      <c r="E198" s="128"/>
      <c r="F198" s="128"/>
      <c r="G198" s="128"/>
    </row>
    <row r="199" ht="18.75" spans="1:7">
      <c r="A199" s="128"/>
      <c r="B199" s="128"/>
      <c r="C199" s="128"/>
      <c r="D199" s="128"/>
      <c r="E199" s="128"/>
      <c r="F199" s="128"/>
      <c r="G199" s="128"/>
    </row>
    <row r="200" ht="18.75" spans="1:7">
      <c r="A200" s="128"/>
      <c r="B200" s="128"/>
      <c r="C200" s="128"/>
      <c r="D200" s="128"/>
      <c r="E200" s="128"/>
      <c r="F200" s="128"/>
      <c r="G200" s="128"/>
    </row>
  </sheetData>
  <mergeCells count="1">
    <mergeCell ref="A1:F1"/>
  </mergeCells>
  <pageMargins left="0.7" right="0.7" top="0.75" bottom="0.75" header="0.3" footer="0.3"/>
  <pageSetup paperSize="9" scale="6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AV372"/>
  <sheetViews>
    <sheetView view="pageBreakPreview" zoomScale="90" zoomScaleNormal="70" workbookViewId="0">
      <pane xSplit="6" ySplit="4" topLeftCell="G363" activePane="bottomRight" state="frozen"/>
      <selection/>
      <selection pane="topRight"/>
      <selection pane="bottomLeft"/>
      <selection pane="bottomRight" activeCell="AE15" sqref="AE15"/>
    </sheetView>
  </sheetViews>
  <sheetFormatPr defaultColWidth="9" defaultRowHeight="13.5"/>
  <cols>
    <col min="1" max="1" width="5" style="1" customWidth="1"/>
    <col min="2" max="2" width="19" style="1" customWidth="1"/>
    <col min="3" max="3" width="34.5333333333333" style="1" customWidth="1"/>
    <col min="4" max="4" width="19.2166666666667" style="7" customWidth="1"/>
    <col min="5" max="5" width="15.1416666666667" style="1" hidden="1" customWidth="1"/>
    <col min="6" max="6" width="17.15" style="1" hidden="1" customWidth="1"/>
    <col min="7" max="7" width="6" style="1" customWidth="1" collapsed="1"/>
    <col min="8" max="26" width="9" style="8" hidden="1" customWidth="1" outlineLevel="1"/>
    <col min="27" max="27" width="10.775" style="8" hidden="1" customWidth="1" outlineLevel="1"/>
    <col min="28" max="28" width="11" style="8" customWidth="1"/>
    <col min="29" max="29" width="10.8333333333333" style="8" customWidth="1"/>
    <col min="30" max="34" width="9" style="8" customWidth="1"/>
    <col min="35" max="35" width="9.58333333333333" style="8" customWidth="1"/>
    <col min="36" max="36" width="9.725" style="8" customWidth="1"/>
    <col min="37" max="38" width="14.7" style="8" customWidth="1"/>
    <col min="39" max="39" width="10" style="1" customWidth="1"/>
    <col min="40" max="40" width="21.725" style="9" customWidth="1"/>
    <col min="41" max="42" width="15.45" style="1" customWidth="1"/>
    <col min="43" max="47" width="9" style="1"/>
    <col min="48" max="48" width="12.8916666666667" style="1"/>
    <col min="49" max="16384" width="9" style="1"/>
  </cols>
  <sheetData>
    <row r="1" s="1" customFormat="1" ht="30" customHeight="1" spans="1:40">
      <c r="A1" s="10" t="s">
        <v>6</v>
      </c>
      <c r="B1" s="10"/>
      <c r="C1" s="11"/>
      <c r="D1" s="11"/>
      <c r="E1" s="10"/>
      <c r="F1" s="10"/>
      <c r="G1" s="10"/>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0"/>
      <c r="AN1" s="9"/>
    </row>
    <row r="2" s="1" customFormat="1" ht="45" customHeight="1" spans="1:48">
      <c r="A2" s="13" t="s">
        <v>59</v>
      </c>
      <c r="B2" s="13" t="s">
        <v>85</v>
      </c>
      <c r="C2" s="14" t="s">
        <v>86</v>
      </c>
      <c r="D2" s="14" t="s">
        <v>87</v>
      </c>
      <c r="E2" s="15" t="s">
        <v>88</v>
      </c>
      <c r="F2" s="15" t="s">
        <v>89</v>
      </c>
      <c r="G2" s="13" t="s">
        <v>90</v>
      </c>
      <c r="H2" s="16" t="s">
        <v>91</v>
      </c>
      <c r="I2" s="16" t="s">
        <v>92</v>
      </c>
      <c r="J2" s="16" t="s">
        <v>93</v>
      </c>
      <c r="K2" s="16" t="s">
        <v>94</v>
      </c>
      <c r="L2" s="16" t="s">
        <v>95</v>
      </c>
      <c r="M2" s="16" t="s">
        <v>96</v>
      </c>
      <c r="N2" s="16" t="s">
        <v>97</v>
      </c>
      <c r="O2" s="16" t="s">
        <v>98</v>
      </c>
      <c r="P2" s="16" t="s">
        <v>99</v>
      </c>
      <c r="Q2" s="16" t="s">
        <v>100</v>
      </c>
      <c r="R2" s="16" t="s">
        <v>101</v>
      </c>
      <c r="S2" s="16" t="s">
        <v>102</v>
      </c>
      <c r="T2" s="16" t="s">
        <v>103</v>
      </c>
      <c r="U2" s="16" t="s">
        <v>104</v>
      </c>
      <c r="V2" s="16" t="s">
        <v>105</v>
      </c>
      <c r="W2" s="16" t="s">
        <v>106</v>
      </c>
      <c r="X2" s="16" t="s">
        <v>107</v>
      </c>
      <c r="Y2" s="16" t="s">
        <v>108</v>
      </c>
      <c r="Z2" s="16" t="s">
        <v>109</v>
      </c>
      <c r="AA2" s="16" t="s">
        <v>110</v>
      </c>
      <c r="AB2" s="41" t="s">
        <v>111</v>
      </c>
      <c r="AC2" s="42" t="s">
        <v>112</v>
      </c>
      <c r="AD2" s="42" t="s">
        <v>113</v>
      </c>
      <c r="AE2" s="42" t="s">
        <v>114</v>
      </c>
      <c r="AF2" s="42" t="s">
        <v>115</v>
      </c>
      <c r="AG2" s="42" t="s">
        <v>116</v>
      </c>
      <c r="AH2" s="42" t="s">
        <v>117</v>
      </c>
      <c r="AI2" s="42" t="s">
        <v>118</v>
      </c>
      <c r="AJ2" s="42" t="s">
        <v>119</v>
      </c>
      <c r="AK2" s="42" t="s">
        <v>120</v>
      </c>
      <c r="AL2" s="42" t="s">
        <v>121</v>
      </c>
      <c r="AM2" s="13" t="s">
        <v>64</v>
      </c>
      <c r="AN2" s="50"/>
      <c r="AO2" s="55"/>
      <c r="AP2" s="56"/>
      <c r="AQ2" s="55"/>
      <c r="AR2" s="55"/>
      <c r="AS2" s="55"/>
      <c r="AT2" s="57"/>
      <c r="AV2" s="56"/>
    </row>
    <row r="3" s="1" customFormat="1" ht="48" customHeight="1" spans="1:48">
      <c r="A3" s="13"/>
      <c r="B3" s="13"/>
      <c r="C3" s="14"/>
      <c r="D3" s="14"/>
      <c r="E3" s="15"/>
      <c r="F3" s="15"/>
      <c r="G3" s="13"/>
      <c r="H3" s="16"/>
      <c r="I3" s="16"/>
      <c r="J3" s="16"/>
      <c r="K3" s="16"/>
      <c r="L3" s="16"/>
      <c r="M3" s="16"/>
      <c r="N3" s="16"/>
      <c r="O3" s="16"/>
      <c r="P3" s="16"/>
      <c r="Q3" s="16"/>
      <c r="R3" s="16"/>
      <c r="S3" s="16"/>
      <c r="T3" s="16"/>
      <c r="U3" s="16"/>
      <c r="V3" s="16"/>
      <c r="W3" s="16"/>
      <c r="X3" s="16"/>
      <c r="Y3" s="16"/>
      <c r="Z3" s="16"/>
      <c r="AA3" s="16"/>
      <c r="AB3" s="41"/>
      <c r="AC3" s="42"/>
      <c r="AD3" s="42"/>
      <c r="AE3" s="42"/>
      <c r="AF3" s="42" t="s">
        <v>122</v>
      </c>
      <c r="AG3" s="42" t="s">
        <v>123</v>
      </c>
      <c r="AH3" s="42" t="s">
        <v>124</v>
      </c>
      <c r="AI3" s="51" t="s">
        <v>125</v>
      </c>
      <c r="AJ3" s="51" t="s">
        <v>126</v>
      </c>
      <c r="AK3" s="42"/>
      <c r="AL3" s="42"/>
      <c r="AM3" s="13"/>
      <c r="AN3" s="50"/>
      <c r="AO3" s="55"/>
      <c r="AP3" s="56"/>
      <c r="AQ3" s="55"/>
      <c r="AR3" s="55"/>
      <c r="AS3" s="55"/>
      <c r="AT3" s="57"/>
      <c r="AV3" s="56"/>
    </row>
    <row r="4" s="1" customFormat="1" ht="20.25" customHeight="1" spans="1:48">
      <c r="A4" s="13"/>
      <c r="B4" s="13"/>
      <c r="C4" s="14"/>
      <c r="D4" s="14"/>
      <c r="E4" s="15"/>
      <c r="F4" s="15"/>
      <c r="G4" s="13"/>
      <c r="H4" s="16"/>
      <c r="I4" s="16"/>
      <c r="J4" s="16"/>
      <c r="K4" s="16"/>
      <c r="L4" s="16"/>
      <c r="M4" s="16"/>
      <c r="N4" s="16"/>
      <c r="O4" s="16"/>
      <c r="P4" s="16"/>
      <c r="Q4" s="16"/>
      <c r="R4" s="16"/>
      <c r="S4" s="16"/>
      <c r="T4" s="16"/>
      <c r="U4" s="16"/>
      <c r="V4" s="16"/>
      <c r="W4" s="16"/>
      <c r="X4" s="16"/>
      <c r="Y4" s="16"/>
      <c r="Z4" s="16"/>
      <c r="AA4" s="16"/>
      <c r="AB4" s="41"/>
      <c r="AC4" s="42"/>
      <c r="AD4" s="42"/>
      <c r="AE4" s="42"/>
      <c r="AF4" s="43"/>
      <c r="AG4" s="43"/>
      <c r="AH4" s="43">
        <v>0.09</v>
      </c>
      <c r="AI4" s="42" t="s">
        <v>127</v>
      </c>
      <c r="AJ4" s="42" t="s">
        <v>128</v>
      </c>
      <c r="AK4" s="42"/>
      <c r="AL4" s="42"/>
      <c r="AM4" s="13"/>
      <c r="AN4" s="50"/>
      <c r="AO4" s="55"/>
      <c r="AP4" s="56"/>
      <c r="AQ4" s="55"/>
      <c r="AR4" s="55"/>
      <c r="AS4" s="55"/>
      <c r="AT4" s="57"/>
      <c r="AV4" s="56"/>
    </row>
    <row r="5" s="2" customFormat="1" ht="37" customHeight="1" spans="1:45">
      <c r="A5" s="17" t="s">
        <v>129</v>
      </c>
      <c r="B5" s="17"/>
      <c r="C5" s="17"/>
      <c r="D5" s="18"/>
      <c r="E5" s="19"/>
      <c r="F5" s="19"/>
      <c r="G5" s="19"/>
      <c r="H5" s="20"/>
      <c r="I5" s="20"/>
      <c r="J5" s="20"/>
      <c r="K5" s="20"/>
      <c r="L5" s="20"/>
      <c r="M5" s="20"/>
      <c r="N5" s="20"/>
      <c r="O5" s="20"/>
      <c r="P5" s="20"/>
      <c r="Q5" s="20"/>
      <c r="R5" s="20"/>
      <c r="S5" s="20"/>
      <c r="T5" s="20"/>
      <c r="U5" s="20"/>
      <c r="V5" s="20"/>
      <c r="W5" s="20"/>
      <c r="X5" s="20"/>
      <c r="Y5" s="20"/>
      <c r="Z5" s="20"/>
      <c r="AA5" s="20"/>
      <c r="AB5" s="44"/>
      <c r="AC5" s="45"/>
      <c r="AD5" s="45"/>
      <c r="AE5" s="45"/>
      <c r="AF5" s="45"/>
      <c r="AG5" s="45"/>
      <c r="AH5" s="45"/>
      <c r="AI5" s="45"/>
      <c r="AJ5" s="45"/>
      <c r="AK5" s="44">
        <f>AK27</f>
        <v>0</v>
      </c>
      <c r="AL5" s="44">
        <f>AL27</f>
        <v>0</v>
      </c>
      <c r="AM5" s="19"/>
      <c r="AN5" s="52"/>
      <c r="AO5" s="58"/>
      <c r="AP5" s="59"/>
      <c r="AQ5" s="58"/>
      <c r="AR5" s="58"/>
      <c r="AS5" s="58"/>
    </row>
    <row r="6" s="1" customFormat="1" ht="30" customHeight="1" outlineLevel="1" spans="1:45">
      <c r="A6" s="21" t="s">
        <v>130</v>
      </c>
      <c r="B6" s="22"/>
      <c r="C6" s="23"/>
      <c r="D6" s="24"/>
      <c r="E6" s="25"/>
      <c r="F6" s="25"/>
      <c r="G6" s="25"/>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16">
        <f>SUM(AK7:AK16)</f>
        <v>0</v>
      </c>
      <c r="AL6" s="16">
        <f>SUM(AL7:AL16)</f>
        <v>0</v>
      </c>
      <c r="AM6" s="25"/>
      <c r="AN6" s="50"/>
      <c r="AO6" s="60"/>
      <c r="AP6" s="61"/>
      <c r="AQ6" s="60"/>
      <c r="AR6" s="60"/>
      <c r="AS6" s="60"/>
    </row>
    <row r="7" s="1" customFormat="1" ht="72" customHeight="1" outlineLevel="2" spans="1:45">
      <c r="A7" s="25">
        <v>1</v>
      </c>
      <c r="B7" s="22" t="s">
        <v>131</v>
      </c>
      <c r="C7" s="23" t="s">
        <v>132</v>
      </c>
      <c r="D7" s="24" t="s">
        <v>133</v>
      </c>
      <c r="E7" s="27"/>
      <c r="F7" s="27"/>
      <c r="G7" s="25" t="s">
        <v>134</v>
      </c>
      <c r="H7" s="26">
        <v>1</v>
      </c>
      <c r="I7" s="26"/>
      <c r="J7" s="26">
        <v>1</v>
      </c>
      <c r="K7" s="26"/>
      <c r="L7" s="26"/>
      <c r="M7" s="26"/>
      <c r="N7" s="26"/>
      <c r="O7" s="26"/>
      <c r="P7" s="26"/>
      <c r="Q7" s="26">
        <v>1</v>
      </c>
      <c r="R7" s="26"/>
      <c r="S7" s="26"/>
      <c r="T7" s="26"/>
      <c r="U7" s="26"/>
      <c r="V7" s="26">
        <v>1</v>
      </c>
      <c r="W7" s="26">
        <v>1</v>
      </c>
      <c r="X7" s="26"/>
      <c r="Y7" s="26"/>
      <c r="Z7" s="26">
        <v>15</v>
      </c>
      <c r="AA7" s="26">
        <v>5</v>
      </c>
      <c r="AB7" s="26">
        <f t="shared" ref="AB7:AB16" si="0">SUM(H7:AA7)</f>
        <v>25</v>
      </c>
      <c r="AC7" s="46"/>
      <c r="AD7" s="46"/>
      <c r="AE7" s="46"/>
      <c r="AF7" s="26">
        <f>ROUND((AD7+AE7+AC7)*$AF$4,2)</f>
        <v>0</v>
      </c>
      <c r="AG7" s="26">
        <f>ROUND((AD7+AE7+AF7+AC7)*AG$4,2)</f>
        <v>0</v>
      </c>
      <c r="AH7" s="26">
        <f>ROUND((AD7+AE7+AF7+AG7+AC7)*AH$4,2)</f>
        <v>0</v>
      </c>
      <c r="AI7" s="26">
        <f t="shared" ref="AI7:AI16" si="1">ROUND((AD7+AE7+AF7+AG7+AC7),2)</f>
        <v>0</v>
      </c>
      <c r="AJ7" s="26">
        <f t="shared" ref="AJ7:AJ16" si="2">ROUND((AD7+AE7+AF7+AG7+AH7+AC7),2)</f>
        <v>0</v>
      </c>
      <c r="AK7" s="26">
        <f t="shared" ref="AK7:AK16" si="3">ROUND((AI7*AB7),2)</f>
        <v>0</v>
      </c>
      <c r="AL7" s="26">
        <f t="shared" ref="AL7:AL16" si="4">ROUND((AJ7*AB7),2)</f>
        <v>0</v>
      </c>
      <c r="AM7" s="25"/>
      <c r="AN7" s="50"/>
      <c r="AO7" s="60"/>
      <c r="AP7" s="60"/>
      <c r="AQ7" s="60"/>
      <c r="AR7" s="60"/>
      <c r="AS7" s="60"/>
    </row>
    <row r="8" s="1" customFormat="1" ht="66" customHeight="1" outlineLevel="2" spans="1:45">
      <c r="A8" s="25">
        <v>3</v>
      </c>
      <c r="B8" s="22" t="s">
        <v>135</v>
      </c>
      <c r="C8" s="23" t="s">
        <v>136</v>
      </c>
      <c r="D8" s="24" t="s">
        <v>133</v>
      </c>
      <c r="E8" s="27"/>
      <c r="F8" s="27"/>
      <c r="G8" s="25" t="s">
        <v>134</v>
      </c>
      <c r="H8" s="26">
        <v>6</v>
      </c>
      <c r="I8" s="26">
        <v>7</v>
      </c>
      <c r="J8" s="26">
        <v>6</v>
      </c>
      <c r="K8" s="26">
        <v>7</v>
      </c>
      <c r="L8" s="26">
        <v>7</v>
      </c>
      <c r="M8" s="26">
        <v>7</v>
      </c>
      <c r="N8" s="26">
        <v>5</v>
      </c>
      <c r="O8" s="26">
        <v>5</v>
      </c>
      <c r="P8" s="26">
        <v>5</v>
      </c>
      <c r="Q8" s="26">
        <v>5</v>
      </c>
      <c r="R8" s="26">
        <v>5</v>
      </c>
      <c r="S8" s="26">
        <v>3</v>
      </c>
      <c r="T8" s="26">
        <v>2</v>
      </c>
      <c r="U8" s="26">
        <v>5</v>
      </c>
      <c r="V8" s="26">
        <v>5</v>
      </c>
      <c r="W8" s="26"/>
      <c r="X8" s="26">
        <v>1</v>
      </c>
      <c r="Y8" s="26">
        <v>1</v>
      </c>
      <c r="Z8" s="26"/>
      <c r="AA8" s="26"/>
      <c r="AB8" s="26">
        <f t="shared" si="0"/>
        <v>82</v>
      </c>
      <c r="AC8" s="46"/>
      <c r="AD8" s="46"/>
      <c r="AE8" s="46"/>
      <c r="AF8" s="26">
        <f>ROUND((AD8+AE8+AC8)*$AF$4,2)</f>
        <v>0</v>
      </c>
      <c r="AG8" s="26">
        <f>ROUND((AD8+AE8+AF8+AC8)*AG$4,2)</f>
        <v>0</v>
      </c>
      <c r="AH8" s="26">
        <f>ROUND((AD8+AE8+AF8+AG8+AC8)*AH$4,2)</f>
        <v>0</v>
      </c>
      <c r="AI8" s="26">
        <f t="shared" si="1"/>
        <v>0</v>
      </c>
      <c r="AJ8" s="26">
        <f t="shared" si="2"/>
        <v>0</v>
      </c>
      <c r="AK8" s="26">
        <f t="shared" si="3"/>
        <v>0</v>
      </c>
      <c r="AL8" s="26">
        <f t="shared" si="4"/>
        <v>0</v>
      </c>
      <c r="AM8" s="25"/>
      <c r="AN8" s="50"/>
      <c r="AO8" s="60"/>
      <c r="AP8" s="60"/>
      <c r="AQ8" s="60"/>
      <c r="AR8" s="62"/>
      <c r="AS8" s="62"/>
    </row>
    <row r="9" s="1" customFormat="1" ht="64" customHeight="1" outlineLevel="2" spans="1:45">
      <c r="A9" s="25">
        <v>4</v>
      </c>
      <c r="B9" s="22" t="s">
        <v>137</v>
      </c>
      <c r="C9" s="23" t="s">
        <v>136</v>
      </c>
      <c r="D9" s="24" t="s">
        <v>133</v>
      </c>
      <c r="E9" s="27"/>
      <c r="F9" s="27"/>
      <c r="G9" s="25" t="s">
        <v>134</v>
      </c>
      <c r="H9" s="26"/>
      <c r="I9" s="26"/>
      <c r="J9" s="26"/>
      <c r="K9" s="26"/>
      <c r="L9" s="26"/>
      <c r="M9" s="26"/>
      <c r="N9" s="26"/>
      <c r="O9" s="26">
        <v>1</v>
      </c>
      <c r="P9" s="26">
        <v>1</v>
      </c>
      <c r="Q9" s="26"/>
      <c r="R9" s="26"/>
      <c r="S9" s="26">
        <v>1</v>
      </c>
      <c r="T9" s="26">
        <v>1</v>
      </c>
      <c r="U9" s="26">
        <v>1</v>
      </c>
      <c r="V9" s="26">
        <v>1</v>
      </c>
      <c r="W9" s="26"/>
      <c r="X9" s="26"/>
      <c r="Y9" s="26"/>
      <c r="Z9" s="26"/>
      <c r="AA9" s="26"/>
      <c r="AB9" s="26">
        <f t="shared" si="0"/>
        <v>6</v>
      </c>
      <c r="AC9" s="46"/>
      <c r="AD9" s="46"/>
      <c r="AE9" s="46"/>
      <c r="AF9" s="26">
        <f>ROUND((AD9+AE9+AC9)*$AF$4,2)</f>
        <v>0</v>
      </c>
      <c r="AG9" s="26">
        <f>ROUND((AD9+AE9+AF9+AC9)*AG$4,2)</f>
        <v>0</v>
      </c>
      <c r="AH9" s="26">
        <f>ROUND((AD9+AE9+AF9+AG9+AC9)*AH$4,2)</f>
        <v>0</v>
      </c>
      <c r="AI9" s="26">
        <f t="shared" si="1"/>
        <v>0</v>
      </c>
      <c r="AJ9" s="26">
        <f t="shared" si="2"/>
        <v>0</v>
      </c>
      <c r="AK9" s="26">
        <f t="shared" si="3"/>
        <v>0</v>
      </c>
      <c r="AL9" s="26">
        <f t="shared" si="4"/>
        <v>0</v>
      </c>
      <c r="AM9" s="25"/>
      <c r="AN9" s="50"/>
      <c r="AO9" s="60"/>
      <c r="AP9" s="60"/>
      <c r="AQ9" s="60"/>
      <c r="AR9" s="60"/>
      <c r="AS9" s="60"/>
    </row>
    <row r="10" s="1" customFormat="1" ht="60" customHeight="1" outlineLevel="2" spans="1:45">
      <c r="A10" s="25">
        <v>5</v>
      </c>
      <c r="B10" s="22" t="s">
        <v>138</v>
      </c>
      <c r="C10" s="23" t="s">
        <v>139</v>
      </c>
      <c r="D10" s="24" t="s">
        <v>133</v>
      </c>
      <c r="E10" s="27"/>
      <c r="F10" s="27"/>
      <c r="G10" s="25" t="s">
        <v>134</v>
      </c>
      <c r="H10" s="26">
        <v>1</v>
      </c>
      <c r="I10" s="26">
        <v>1</v>
      </c>
      <c r="J10" s="26"/>
      <c r="K10" s="26">
        <v>1</v>
      </c>
      <c r="L10" s="26"/>
      <c r="M10" s="26"/>
      <c r="N10" s="26"/>
      <c r="O10" s="26"/>
      <c r="P10" s="26"/>
      <c r="Q10" s="26">
        <v>1</v>
      </c>
      <c r="R10" s="26"/>
      <c r="S10" s="26"/>
      <c r="T10" s="26"/>
      <c r="U10" s="26"/>
      <c r="V10" s="26"/>
      <c r="W10" s="26"/>
      <c r="X10" s="26"/>
      <c r="Y10" s="26"/>
      <c r="Z10" s="26"/>
      <c r="AA10" s="26"/>
      <c r="AB10" s="26">
        <f t="shared" si="0"/>
        <v>4</v>
      </c>
      <c r="AC10" s="46"/>
      <c r="AD10" s="46"/>
      <c r="AE10" s="46"/>
      <c r="AF10" s="26">
        <f>ROUND((AD10+AE10+AC10)*$AF$4,2)</f>
        <v>0</v>
      </c>
      <c r="AG10" s="26">
        <f>ROUND((AD10+AE10+AF10+AC10)*AG$4,2)</f>
        <v>0</v>
      </c>
      <c r="AH10" s="26">
        <f>ROUND((AD10+AE10+AF10+AG10+AC10)*AH$4,2)</f>
        <v>0</v>
      </c>
      <c r="AI10" s="26">
        <f t="shared" si="1"/>
        <v>0</v>
      </c>
      <c r="AJ10" s="26">
        <f t="shared" si="2"/>
        <v>0</v>
      </c>
      <c r="AK10" s="26">
        <f t="shared" si="3"/>
        <v>0</v>
      </c>
      <c r="AL10" s="26">
        <f t="shared" si="4"/>
        <v>0</v>
      </c>
      <c r="AM10" s="25"/>
      <c r="AN10" s="50"/>
      <c r="AO10" s="60"/>
      <c r="AP10" s="60"/>
      <c r="AQ10" s="60"/>
      <c r="AR10" s="60"/>
      <c r="AS10" s="60"/>
    </row>
    <row r="11" s="1" customFormat="1" ht="62" customHeight="1" outlineLevel="2" spans="1:45">
      <c r="A11" s="25">
        <v>6</v>
      </c>
      <c r="B11" s="22" t="s">
        <v>140</v>
      </c>
      <c r="C11" s="23" t="s">
        <v>141</v>
      </c>
      <c r="D11" s="24" t="s">
        <v>133</v>
      </c>
      <c r="E11" s="27"/>
      <c r="F11" s="27"/>
      <c r="G11" s="25" t="s">
        <v>134</v>
      </c>
      <c r="H11" s="26"/>
      <c r="I11" s="26"/>
      <c r="J11" s="26">
        <v>1</v>
      </c>
      <c r="K11" s="26"/>
      <c r="L11" s="26">
        <v>1</v>
      </c>
      <c r="M11" s="26">
        <v>1</v>
      </c>
      <c r="N11" s="26">
        <v>1</v>
      </c>
      <c r="O11" s="26"/>
      <c r="P11" s="26"/>
      <c r="Q11" s="26"/>
      <c r="R11" s="26">
        <v>1</v>
      </c>
      <c r="S11" s="26"/>
      <c r="T11" s="26"/>
      <c r="U11" s="26"/>
      <c r="V11" s="26"/>
      <c r="W11" s="26"/>
      <c r="X11" s="26"/>
      <c r="Y11" s="26"/>
      <c r="Z11" s="26"/>
      <c r="AA11" s="26"/>
      <c r="AB11" s="26">
        <f t="shared" si="0"/>
        <v>5</v>
      </c>
      <c r="AC11" s="46"/>
      <c r="AD11" s="46"/>
      <c r="AE11" s="46"/>
      <c r="AF11" s="26">
        <f>ROUND((AD11+AE11+AC11)*$AF$4,2)</f>
        <v>0</v>
      </c>
      <c r="AG11" s="26">
        <f>ROUND((AD11+AE11+AF11+AC11)*AG$4,2)</f>
        <v>0</v>
      </c>
      <c r="AH11" s="26">
        <f>ROUND((AD11+AE11+AF11+AG11+AC11)*AH$4,2)</f>
        <v>0</v>
      </c>
      <c r="AI11" s="26">
        <f t="shared" si="1"/>
        <v>0</v>
      </c>
      <c r="AJ11" s="26">
        <f t="shared" si="2"/>
        <v>0</v>
      </c>
      <c r="AK11" s="26">
        <f t="shared" si="3"/>
        <v>0</v>
      </c>
      <c r="AL11" s="26">
        <f t="shared" si="4"/>
        <v>0</v>
      </c>
      <c r="AM11" s="25"/>
      <c r="AN11" s="50"/>
      <c r="AO11" s="60"/>
      <c r="AP11" s="60"/>
      <c r="AQ11" s="60"/>
      <c r="AR11" s="60"/>
      <c r="AS11" s="60"/>
    </row>
    <row r="12" s="1" customFormat="1" ht="48" outlineLevel="2" spans="1:45">
      <c r="A12" s="25">
        <v>7</v>
      </c>
      <c r="B12" s="22" t="s">
        <v>142</v>
      </c>
      <c r="C12" s="23" t="s">
        <v>143</v>
      </c>
      <c r="D12" s="24" t="s">
        <v>133</v>
      </c>
      <c r="E12" s="27"/>
      <c r="F12" s="27"/>
      <c r="G12" s="25" t="s">
        <v>134</v>
      </c>
      <c r="H12" s="26"/>
      <c r="I12" s="26">
        <v>1</v>
      </c>
      <c r="J12" s="26"/>
      <c r="K12" s="26"/>
      <c r="L12" s="26"/>
      <c r="M12" s="26"/>
      <c r="N12" s="26"/>
      <c r="O12" s="26"/>
      <c r="P12" s="26"/>
      <c r="Q12" s="26"/>
      <c r="R12" s="26"/>
      <c r="S12" s="26"/>
      <c r="T12" s="26"/>
      <c r="U12" s="26"/>
      <c r="V12" s="26"/>
      <c r="W12" s="26"/>
      <c r="X12" s="26"/>
      <c r="Y12" s="26"/>
      <c r="Z12" s="26"/>
      <c r="AA12" s="26"/>
      <c r="AB12" s="26">
        <f t="shared" si="0"/>
        <v>1</v>
      </c>
      <c r="AC12" s="46"/>
      <c r="AD12" s="46"/>
      <c r="AE12" s="46"/>
      <c r="AF12" s="26">
        <f>ROUND((AD12+AE12+AC12)*$AF$4,2)</f>
        <v>0</v>
      </c>
      <c r="AG12" s="26">
        <f>ROUND((AD12+AE12+AF12+AC12)*AG$4,2)</f>
        <v>0</v>
      </c>
      <c r="AH12" s="26">
        <f>ROUND((AD12+AE12+AF12+AG12+AC12)*AH$4,2)</f>
        <v>0</v>
      </c>
      <c r="AI12" s="26">
        <f t="shared" si="1"/>
        <v>0</v>
      </c>
      <c r="AJ12" s="26">
        <f t="shared" si="2"/>
        <v>0</v>
      </c>
      <c r="AK12" s="26">
        <f t="shared" si="3"/>
        <v>0</v>
      </c>
      <c r="AL12" s="26">
        <f t="shared" si="4"/>
        <v>0</v>
      </c>
      <c r="AM12" s="25"/>
      <c r="AN12" s="50"/>
      <c r="AO12" s="60"/>
      <c r="AP12" s="60"/>
      <c r="AQ12" s="60"/>
      <c r="AR12" s="60"/>
      <c r="AS12" s="60"/>
    </row>
    <row r="13" s="1" customFormat="1" ht="38" customHeight="1" outlineLevel="2" spans="1:45">
      <c r="A13" s="25">
        <v>8</v>
      </c>
      <c r="B13" s="22" t="s">
        <v>144</v>
      </c>
      <c r="C13" s="23" t="s">
        <v>145</v>
      </c>
      <c r="D13" s="24" t="s">
        <v>133</v>
      </c>
      <c r="E13" s="27"/>
      <c r="F13" s="27"/>
      <c r="G13" s="25" t="s">
        <v>146</v>
      </c>
      <c r="H13" s="26">
        <v>5</v>
      </c>
      <c r="I13" s="26">
        <v>5</v>
      </c>
      <c r="J13" s="26">
        <v>5</v>
      </c>
      <c r="K13" s="26">
        <v>8</v>
      </c>
      <c r="L13" s="26">
        <v>8</v>
      </c>
      <c r="M13" s="26">
        <v>5</v>
      </c>
      <c r="N13" s="26">
        <v>6</v>
      </c>
      <c r="O13" s="26">
        <v>6</v>
      </c>
      <c r="P13" s="26">
        <v>6</v>
      </c>
      <c r="Q13" s="26">
        <v>6</v>
      </c>
      <c r="R13" s="26">
        <v>6</v>
      </c>
      <c r="S13" s="26">
        <v>4</v>
      </c>
      <c r="T13" s="26">
        <v>3</v>
      </c>
      <c r="U13" s="26">
        <v>6</v>
      </c>
      <c r="V13" s="26">
        <v>6</v>
      </c>
      <c r="W13" s="26">
        <v>1</v>
      </c>
      <c r="X13" s="26">
        <v>1</v>
      </c>
      <c r="Y13" s="26">
        <v>1</v>
      </c>
      <c r="Z13" s="26"/>
      <c r="AA13" s="26">
        <v>4</v>
      </c>
      <c r="AB13" s="26">
        <f t="shared" si="0"/>
        <v>92</v>
      </c>
      <c r="AC13" s="46"/>
      <c r="AD13" s="46"/>
      <c r="AE13" s="46"/>
      <c r="AF13" s="26">
        <f>ROUND((AD13+AE13+AC13)*$AF$4,2)</f>
        <v>0</v>
      </c>
      <c r="AG13" s="26">
        <f>ROUND((AD13+AE13+AF13+AC13)*AG$4,2)</f>
        <v>0</v>
      </c>
      <c r="AH13" s="26">
        <f>ROUND((AD13+AE13+AF13+AG13+AC13)*AH$4,2)</f>
        <v>0</v>
      </c>
      <c r="AI13" s="26">
        <f t="shared" si="1"/>
        <v>0</v>
      </c>
      <c r="AJ13" s="26">
        <f t="shared" si="2"/>
        <v>0</v>
      </c>
      <c r="AK13" s="26">
        <f t="shared" si="3"/>
        <v>0</v>
      </c>
      <c r="AL13" s="26">
        <f t="shared" si="4"/>
        <v>0</v>
      </c>
      <c r="AM13" s="25"/>
      <c r="AN13" s="50"/>
      <c r="AO13" s="60"/>
      <c r="AP13" s="60"/>
      <c r="AQ13" s="60"/>
      <c r="AR13" s="60"/>
      <c r="AS13" s="60"/>
    </row>
    <row r="14" s="1" customFormat="1" ht="48" outlineLevel="2" spans="1:45">
      <c r="A14" s="25">
        <v>9</v>
      </c>
      <c r="B14" s="22" t="s">
        <v>147</v>
      </c>
      <c r="C14" s="23" t="s">
        <v>148</v>
      </c>
      <c r="D14" s="24" t="s">
        <v>133</v>
      </c>
      <c r="E14" s="27"/>
      <c r="F14" s="27"/>
      <c r="G14" s="25" t="s">
        <v>146</v>
      </c>
      <c r="H14" s="26"/>
      <c r="I14" s="26">
        <v>1</v>
      </c>
      <c r="J14" s="26"/>
      <c r="K14" s="26"/>
      <c r="L14" s="26"/>
      <c r="M14" s="26"/>
      <c r="N14" s="26"/>
      <c r="O14" s="26"/>
      <c r="P14" s="26"/>
      <c r="Q14" s="26"/>
      <c r="R14" s="26"/>
      <c r="S14" s="26"/>
      <c r="T14" s="26"/>
      <c r="U14" s="26"/>
      <c r="V14" s="26"/>
      <c r="W14" s="26"/>
      <c r="X14" s="26"/>
      <c r="Y14" s="26"/>
      <c r="Z14" s="26"/>
      <c r="AA14" s="26"/>
      <c r="AB14" s="26">
        <f t="shared" si="0"/>
        <v>1</v>
      </c>
      <c r="AC14" s="46"/>
      <c r="AD14" s="46"/>
      <c r="AE14" s="46"/>
      <c r="AF14" s="26">
        <f>ROUND((AD14+AE14+AC14)*$AF$4,2)</f>
        <v>0</v>
      </c>
      <c r="AG14" s="26">
        <f>ROUND((AD14+AE14+AF14+AC14)*AG$4,2)</f>
        <v>0</v>
      </c>
      <c r="AH14" s="26">
        <f>ROUND((AD14+AE14+AF14+AG14+AC14)*AH$4,2)</f>
        <v>0</v>
      </c>
      <c r="AI14" s="26">
        <f t="shared" si="1"/>
        <v>0</v>
      </c>
      <c r="AJ14" s="26">
        <f t="shared" si="2"/>
        <v>0</v>
      </c>
      <c r="AK14" s="26">
        <f t="shared" si="3"/>
        <v>0</v>
      </c>
      <c r="AL14" s="26">
        <f t="shared" si="4"/>
        <v>0</v>
      </c>
      <c r="AM14" s="25"/>
      <c r="AN14" s="50"/>
      <c r="AO14" s="60"/>
      <c r="AP14" s="60"/>
      <c r="AQ14" s="60"/>
      <c r="AR14" s="60"/>
      <c r="AS14" s="60"/>
    </row>
    <row r="15" s="1" customFormat="1" ht="156" outlineLevel="2" spans="1:45">
      <c r="A15" s="25">
        <v>10</v>
      </c>
      <c r="B15" s="22" t="s">
        <v>149</v>
      </c>
      <c r="C15" s="23" t="s">
        <v>150</v>
      </c>
      <c r="D15" s="24" t="s">
        <v>133</v>
      </c>
      <c r="E15" s="27"/>
      <c r="F15" s="27"/>
      <c r="G15" s="25" t="s">
        <v>146</v>
      </c>
      <c r="H15" s="26"/>
      <c r="I15" s="26">
        <v>1</v>
      </c>
      <c r="J15" s="26"/>
      <c r="K15" s="26"/>
      <c r="L15" s="26"/>
      <c r="M15" s="26"/>
      <c r="N15" s="26"/>
      <c r="O15" s="26"/>
      <c r="P15" s="26"/>
      <c r="Q15" s="26"/>
      <c r="R15" s="26"/>
      <c r="S15" s="26"/>
      <c r="T15" s="26"/>
      <c r="U15" s="26"/>
      <c r="V15" s="26"/>
      <c r="W15" s="26"/>
      <c r="X15" s="26"/>
      <c r="Y15" s="26"/>
      <c r="Z15" s="26"/>
      <c r="AA15" s="26"/>
      <c r="AB15" s="26">
        <f t="shared" si="0"/>
        <v>1</v>
      </c>
      <c r="AC15" s="46"/>
      <c r="AD15" s="46"/>
      <c r="AE15" s="46"/>
      <c r="AF15" s="26">
        <f>ROUND((AD15+AE15+AC15)*$AF$4,2)</f>
        <v>0</v>
      </c>
      <c r="AG15" s="26">
        <f>ROUND((AD15+AE15+AF15+AC15)*AG$4,2)</f>
        <v>0</v>
      </c>
      <c r="AH15" s="26">
        <f>ROUND((AD15+AE15+AF15+AG15+AC15)*AH$4,2)</f>
        <v>0</v>
      </c>
      <c r="AI15" s="26">
        <f t="shared" si="1"/>
        <v>0</v>
      </c>
      <c r="AJ15" s="26">
        <f t="shared" si="2"/>
        <v>0</v>
      </c>
      <c r="AK15" s="26">
        <f t="shared" si="3"/>
        <v>0</v>
      </c>
      <c r="AL15" s="26">
        <f t="shared" si="4"/>
        <v>0</v>
      </c>
      <c r="AM15" s="25"/>
      <c r="AN15" s="50"/>
      <c r="AO15" s="60"/>
      <c r="AP15" s="60"/>
      <c r="AQ15" s="60"/>
      <c r="AR15" s="60"/>
      <c r="AS15" s="60"/>
    </row>
    <row r="16" s="1" customFormat="1" ht="24" outlineLevel="2" spans="1:45">
      <c r="A16" s="25">
        <v>11</v>
      </c>
      <c r="B16" s="22" t="s">
        <v>151</v>
      </c>
      <c r="C16" s="23" t="s">
        <v>152</v>
      </c>
      <c r="D16" s="24" t="s">
        <v>133</v>
      </c>
      <c r="E16" s="27"/>
      <c r="F16" s="27"/>
      <c r="G16" s="25" t="s">
        <v>134</v>
      </c>
      <c r="H16" s="26"/>
      <c r="I16" s="26">
        <v>1</v>
      </c>
      <c r="J16" s="26"/>
      <c r="K16" s="26"/>
      <c r="L16" s="26"/>
      <c r="M16" s="26"/>
      <c r="N16" s="26"/>
      <c r="O16" s="26"/>
      <c r="P16" s="26"/>
      <c r="Q16" s="26"/>
      <c r="R16" s="26"/>
      <c r="S16" s="26"/>
      <c r="T16" s="26"/>
      <c r="U16" s="26"/>
      <c r="V16" s="26"/>
      <c r="W16" s="26"/>
      <c r="X16" s="26"/>
      <c r="Y16" s="26"/>
      <c r="Z16" s="26"/>
      <c r="AA16" s="26"/>
      <c r="AB16" s="26">
        <f t="shared" si="0"/>
        <v>1</v>
      </c>
      <c r="AC16" s="46"/>
      <c r="AD16" s="46"/>
      <c r="AE16" s="46"/>
      <c r="AF16" s="26">
        <f>ROUND((AD16+AE16+AC16)*$AF$4,2)</f>
        <v>0</v>
      </c>
      <c r="AG16" s="26">
        <f>ROUND((AD16+AE16+AF16+AC16)*AG$4,2)</f>
        <v>0</v>
      </c>
      <c r="AH16" s="26">
        <f>ROUND((AD16+AE16+AF16+AG16+AC16)*AH$4,2)</f>
        <v>0</v>
      </c>
      <c r="AI16" s="26">
        <f t="shared" si="1"/>
        <v>0</v>
      </c>
      <c r="AJ16" s="26">
        <f t="shared" si="2"/>
        <v>0</v>
      </c>
      <c r="AK16" s="26">
        <f t="shared" si="3"/>
        <v>0</v>
      </c>
      <c r="AL16" s="26">
        <f t="shared" si="4"/>
        <v>0</v>
      </c>
      <c r="AM16" s="25"/>
      <c r="AN16" s="50"/>
      <c r="AO16" s="60"/>
      <c r="AP16" s="60"/>
      <c r="AQ16" s="60"/>
      <c r="AR16" s="60"/>
      <c r="AS16" s="60"/>
    </row>
    <row r="17" s="1" customFormat="1" ht="30" customHeight="1" outlineLevel="1" spans="1:45">
      <c r="A17" s="21" t="s">
        <v>153</v>
      </c>
      <c r="B17" s="22"/>
      <c r="C17" s="23"/>
      <c r="D17" s="24"/>
      <c r="E17" s="25"/>
      <c r="F17" s="25"/>
      <c r="G17" s="25"/>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16">
        <f>SUM(AK18:AK23)</f>
        <v>0</v>
      </c>
      <c r="AL17" s="16">
        <f>SUM(AL18:AL23)</f>
        <v>0</v>
      </c>
      <c r="AM17" s="25"/>
      <c r="AN17" s="50"/>
      <c r="AO17" s="60"/>
      <c r="AP17" s="61"/>
      <c r="AQ17" s="60"/>
      <c r="AR17" s="60"/>
      <c r="AS17" s="60"/>
    </row>
    <row r="18" s="1" customFormat="1" ht="48" customHeight="1" outlineLevel="2" spans="1:45">
      <c r="A18" s="25">
        <v>1</v>
      </c>
      <c r="B18" s="22" t="s">
        <v>154</v>
      </c>
      <c r="C18" s="23" t="s">
        <v>155</v>
      </c>
      <c r="D18" s="24" t="s">
        <v>133</v>
      </c>
      <c r="E18" s="27"/>
      <c r="F18" s="27"/>
      <c r="G18" s="25" t="s">
        <v>156</v>
      </c>
      <c r="H18" s="26">
        <v>1</v>
      </c>
      <c r="I18" s="26">
        <v>1</v>
      </c>
      <c r="J18" s="26">
        <v>1</v>
      </c>
      <c r="K18" s="26">
        <v>2</v>
      </c>
      <c r="L18" s="26">
        <v>1</v>
      </c>
      <c r="M18" s="26">
        <v>1</v>
      </c>
      <c r="N18" s="26">
        <v>1</v>
      </c>
      <c r="O18" s="26">
        <v>1</v>
      </c>
      <c r="P18" s="26">
        <v>1</v>
      </c>
      <c r="Q18" s="26">
        <v>2</v>
      </c>
      <c r="R18" s="26">
        <v>1</v>
      </c>
      <c r="S18" s="26">
        <v>1</v>
      </c>
      <c r="T18" s="26">
        <v>1</v>
      </c>
      <c r="U18" s="26">
        <v>1</v>
      </c>
      <c r="V18" s="26">
        <v>1</v>
      </c>
      <c r="W18" s="26">
        <v>1</v>
      </c>
      <c r="X18" s="26">
        <v>1</v>
      </c>
      <c r="Y18" s="26">
        <v>1</v>
      </c>
      <c r="Z18" s="26"/>
      <c r="AA18" s="26">
        <v>5</v>
      </c>
      <c r="AB18" s="26">
        <f t="shared" ref="AB18:AB23" si="5">SUM(H18:AA18)</f>
        <v>25</v>
      </c>
      <c r="AC18" s="46"/>
      <c r="AD18" s="46"/>
      <c r="AE18" s="46"/>
      <c r="AF18" s="26">
        <f>ROUND((AD18+AE18+AC18)*$AF$4,2)</f>
        <v>0</v>
      </c>
      <c r="AG18" s="26">
        <f>ROUND((AD18+AE18+AF18+AC18)*AG$4,2)</f>
        <v>0</v>
      </c>
      <c r="AH18" s="26">
        <f>ROUND((AD18+AE18+AF18+AG18+AC18)*AH$4,2)</f>
        <v>0</v>
      </c>
      <c r="AI18" s="26">
        <f t="shared" ref="AI18:AI23" si="6">ROUND((AD18+AE18+AF18+AG18+AC18),2)</f>
        <v>0</v>
      </c>
      <c r="AJ18" s="26">
        <f t="shared" ref="AJ18:AJ23" si="7">ROUND((AD18+AE18+AF18+AG18+AH18+AC18),2)</f>
        <v>0</v>
      </c>
      <c r="AK18" s="26">
        <f t="shared" ref="AK18:AK23" si="8">ROUND((AI18*AB18),2)</f>
        <v>0</v>
      </c>
      <c r="AL18" s="26">
        <f t="shared" ref="AL18:AL23" si="9">ROUND((AJ18*AB18),2)</f>
        <v>0</v>
      </c>
      <c r="AM18" s="25"/>
      <c r="AN18" s="50"/>
      <c r="AO18" s="60"/>
      <c r="AP18" s="61"/>
      <c r="AQ18" s="60"/>
      <c r="AR18" s="60"/>
      <c r="AS18" s="60"/>
    </row>
    <row r="19" s="1" customFormat="1" ht="48" customHeight="1" outlineLevel="2" spans="1:45">
      <c r="A19" s="25">
        <v>2</v>
      </c>
      <c r="B19" s="22" t="s">
        <v>157</v>
      </c>
      <c r="C19" s="23" t="s">
        <v>158</v>
      </c>
      <c r="D19" s="24" t="s">
        <v>133</v>
      </c>
      <c r="E19" s="27"/>
      <c r="F19" s="27"/>
      <c r="G19" s="25" t="s">
        <v>146</v>
      </c>
      <c r="H19" s="26">
        <v>1</v>
      </c>
      <c r="I19" s="26">
        <v>1</v>
      </c>
      <c r="J19" s="26">
        <v>1</v>
      </c>
      <c r="K19" s="26">
        <v>1</v>
      </c>
      <c r="L19" s="26">
        <v>1</v>
      </c>
      <c r="M19" s="26">
        <v>1</v>
      </c>
      <c r="N19" s="26">
        <v>1</v>
      </c>
      <c r="O19" s="26">
        <v>1</v>
      </c>
      <c r="P19" s="26">
        <v>1</v>
      </c>
      <c r="Q19" s="26">
        <v>1</v>
      </c>
      <c r="R19" s="26">
        <v>1</v>
      </c>
      <c r="S19" s="26">
        <v>1</v>
      </c>
      <c r="T19" s="26">
        <v>1</v>
      </c>
      <c r="U19" s="26">
        <v>1</v>
      </c>
      <c r="V19" s="26">
        <v>1</v>
      </c>
      <c r="W19" s="26">
        <v>1</v>
      </c>
      <c r="X19" s="26">
        <v>1</v>
      </c>
      <c r="Y19" s="26">
        <v>1</v>
      </c>
      <c r="Z19" s="26"/>
      <c r="AA19" s="26">
        <v>4</v>
      </c>
      <c r="AB19" s="26">
        <f t="shared" si="5"/>
        <v>22</v>
      </c>
      <c r="AC19" s="46"/>
      <c r="AD19" s="46"/>
      <c r="AE19" s="46"/>
      <c r="AF19" s="26">
        <f>ROUND((AD19+AE19+AC19)*$AF$4,2)</f>
        <v>0</v>
      </c>
      <c r="AG19" s="26">
        <f>ROUND((AD19+AE19+AF19+AC19)*AG$4,2)</f>
        <v>0</v>
      </c>
      <c r="AH19" s="26">
        <f>ROUND((AD19+AE19+AF19+AG19+AC19)*AH$4,2)</f>
        <v>0</v>
      </c>
      <c r="AI19" s="26">
        <f t="shared" si="6"/>
        <v>0</v>
      </c>
      <c r="AJ19" s="26">
        <f t="shared" si="7"/>
        <v>0</v>
      </c>
      <c r="AK19" s="26">
        <f t="shared" si="8"/>
        <v>0</v>
      </c>
      <c r="AL19" s="26">
        <f t="shared" si="9"/>
        <v>0</v>
      </c>
      <c r="AM19" s="25"/>
      <c r="AN19" s="50"/>
      <c r="AO19" s="60"/>
      <c r="AP19" s="61"/>
      <c r="AQ19" s="60"/>
      <c r="AR19" s="60"/>
      <c r="AS19" s="60"/>
    </row>
    <row r="20" s="1" customFormat="1" ht="48" customHeight="1" outlineLevel="2" spans="1:45">
      <c r="A20" s="25">
        <v>3</v>
      </c>
      <c r="B20" s="22" t="s">
        <v>159</v>
      </c>
      <c r="C20" s="23" t="s">
        <v>160</v>
      </c>
      <c r="D20" s="24" t="s">
        <v>133</v>
      </c>
      <c r="E20" s="27"/>
      <c r="F20" s="27"/>
      <c r="G20" s="25" t="s">
        <v>156</v>
      </c>
      <c r="H20" s="26"/>
      <c r="I20" s="26"/>
      <c r="J20" s="26"/>
      <c r="K20" s="26"/>
      <c r="L20" s="26"/>
      <c r="M20" s="26"/>
      <c r="N20" s="26"/>
      <c r="O20" s="26"/>
      <c r="P20" s="26"/>
      <c r="Q20" s="26"/>
      <c r="R20" s="26"/>
      <c r="S20" s="26"/>
      <c r="T20" s="26"/>
      <c r="U20" s="26"/>
      <c r="V20" s="26"/>
      <c r="W20" s="26"/>
      <c r="X20" s="26"/>
      <c r="Y20" s="26"/>
      <c r="Z20" s="26">
        <v>15</v>
      </c>
      <c r="AA20" s="26"/>
      <c r="AB20" s="26">
        <f t="shared" si="5"/>
        <v>15</v>
      </c>
      <c r="AC20" s="46"/>
      <c r="AD20" s="46"/>
      <c r="AE20" s="46"/>
      <c r="AF20" s="26">
        <f>ROUND((AD20+AE20+AC20)*$AF$4,2)</f>
        <v>0</v>
      </c>
      <c r="AG20" s="26">
        <f>ROUND((AD20+AE20+AF20+AC20)*AG$4,2)</f>
        <v>0</v>
      </c>
      <c r="AH20" s="26">
        <f>ROUND((AD20+AE20+AF20+AG20+AC20)*AH$4,2)</f>
        <v>0</v>
      </c>
      <c r="AI20" s="26">
        <f t="shared" si="6"/>
        <v>0</v>
      </c>
      <c r="AJ20" s="26">
        <f t="shared" si="7"/>
        <v>0</v>
      </c>
      <c r="AK20" s="26">
        <f t="shared" si="8"/>
        <v>0</v>
      </c>
      <c r="AL20" s="26">
        <f t="shared" si="9"/>
        <v>0</v>
      </c>
      <c r="AM20" s="25"/>
      <c r="AN20" s="50"/>
      <c r="AO20" s="60"/>
      <c r="AP20" s="61"/>
      <c r="AQ20" s="60"/>
      <c r="AR20" s="60"/>
      <c r="AS20" s="60"/>
    </row>
    <row r="21" s="3" customFormat="1" ht="48" customHeight="1" outlineLevel="2" spans="1:45">
      <c r="A21" s="28">
        <v>4</v>
      </c>
      <c r="B21" s="29" t="s">
        <v>161</v>
      </c>
      <c r="C21" s="30" t="s">
        <v>158</v>
      </c>
      <c r="D21" s="31" t="s">
        <v>162</v>
      </c>
      <c r="E21" s="32"/>
      <c r="F21" s="32"/>
      <c r="G21" s="28" t="s">
        <v>146</v>
      </c>
      <c r="H21" s="33"/>
      <c r="I21" s="33">
        <v>2</v>
      </c>
      <c r="J21" s="33"/>
      <c r="K21" s="33"/>
      <c r="L21" s="33"/>
      <c r="M21" s="33"/>
      <c r="N21" s="33"/>
      <c r="O21" s="33"/>
      <c r="P21" s="33"/>
      <c r="Q21" s="33"/>
      <c r="R21" s="33"/>
      <c r="S21" s="33"/>
      <c r="T21" s="33"/>
      <c r="U21" s="33"/>
      <c r="V21" s="33"/>
      <c r="W21" s="33"/>
      <c r="X21" s="33"/>
      <c r="Y21" s="33"/>
      <c r="Z21" s="33"/>
      <c r="AA21" s="33"/>
      <c r="AB21" s="33">
        <f t="shared" si="5"/>
        <v>2</v>
      </c>
      <c r="AC21" s="47"/>
      <c r="AD21" s="47"/>
      <c r="AE21" s="47"/>
      <c r="AF21" s="33">
        <f>ROUND((AD21+AE21+AC21)*$AF$4,2)</f>
        <v>0</v>
      </c>
      <c r="AG21" s="33">
        <f>ROUND((AD21+AE21+AF21+AC21)*AG$4,2)</f>
        <v>0</v>
      </c>
      <c r="AH21" s="33">
        <f>ROUND((AD21+AE21+AF21+AG21+AC21)*AH$4,2)</f>
        <v>0</v>
      </c>
      <c r="AI21" s="33">
        <f t="shared" si="6"/>
        <v>0</v>
      </c>
      <c r="AJ21" s="33">
        <f t="shared" si="7"/>
        <v>0</v>
      </c>
      <c r="AK21" s="33">
        <f t="shared" si="8"/>
        <v>0</v>
      </c>
      <c r="AL21" s="33">
        <f t="shared" si="9"/>
        <v>0</v>
      </c>
      <c r="AM21" s="28"/>
      <c r="AN21" s="53"/>
      <c r="AO21" s="63"/>
      <c r="AP21" s="63"/>
      <c r="AQ21" s="63"/>
      <c r="AR21" s="63"/>
      <c r="AS21" s="63"/>
    </row>
    <row r="22" s="1" customFormat="1" ht="48" customHeight="1" outlineLevel="2" spans="1:45">
      <c r="A22" s="25">
        <v>5</v>
      </c>
      <c r="B22" s="22" t="s">
        <v>163</v>
      </c>
      <c r="C22" s="23" t="s">
        <v>164</v>
      </c>
      <c r="D22" s="24" t="s">
        <v>162</v>
      </c>
      <c r="E22" s="27"/>
      <c r="F22" s="27"/>
      <c r="G22" s="25" t="s">
        <v>165</v>
      </c>
      <c r="H22" s="26">
        <v>2</v>
      </c>
      <c r="I22" s="26">
        <v>3</v>
      </c>
      <c r="J22" s="26">
        <v>2</v>
      </c>
      <c r="K22" s="26">
        <v>2</v>
      </c>
      <c r="L22" s="26">
        <v>2</v>
      </c>
      <c r="M22" s="26">
        <v>2</v>
      </c>
      <c r="N22" s="26">
        <v>2</v>
      </c>
      <c r="O22" s="26">
        <v>2</v>
      </c>
      <c r="P22" s="26">
        <v>2</v>
      </c>
      <c r="Q22" s="26">
        <v>2</v>
      </c>
      <c r="R22" s="26">
        <v>2</v>
      </c>
      <c r="S22" s="26">
        <v>2</v>
      </c>
      <c r="T22" s="26">
        <v>2</v>
      </c>
      <c r="U22" s="26">
        <v>2</v>
      </c>
      <c r="V22" s="26">
        <v>2</v>
      </c>
      <c r="W22" s="26">
        <v>1</v>
      </c>
      <c r="X22" s="26">
        <v>1</v>
      </c>
      <c r="Y22" s="26">
        <v>1</v>
      </c>
      <c r="Z22" s="26">
        <v>15</v>
      </c>
      <c r="AA22" s="26">
        <v>2</v>
      </c>
      <c r="AB22" s="26">
        <f t="shared" si="5"/>
        <v>51</v>
      </c>
      <c r="AC22" s="46"/>
      <c r="AD22" s="46"/>
      <c r="AE22" s="46"/>
      <c r="AF22" s="26">
        <f>ROUND((AD22+AE22+AC22)*$AF$4,2)</f>
        <v>0</v>
      </c>
      <c r="AG22" s="26">
        <f>ROUND((AD22+AE22+AF22+AC22)*AG$4,2)</f>
        <v>0</v>
      </c>
      <c r="AH22" s="26">
        <f>ROUND((AD22+AE22+AF22+AG22+AC22)*AH$4,2)</f>
        <v>0</v>
      </c>
      <c r="AI22" s="26">
        <f t="shared" si="6"/>
        <v>0</v>
      </c>
      <c r="AJ22" s="26">
        <f t="shared" si="7"/>
        <v>0</v>
      </c>
      <c r="AK22" s="26">
        <f t="shared" si="8"/>
        <v>0</v>
      </c>
      <c r="AL22" s="26">
        <f t="shared" si="9"/>
        <v>0</v>
      </c>
      <c r="AM22" s="25"/>
      <c r="AN22" s="50"/>
      <c r="AO22" s="60"/>
      <c r="AP22" s="60"/>
      <c r="AQ22" s="60"/>
      <c r="AR22" s="60"/>
      <c r="AS22" s="60"/>
    </row>
    <row r="23" s="1" customFormat="1" ht="48" customHeight="1" outlineLevel="2" spans="1:45">
      <c r="A23" s="25">
        <v>6</v>
      </c>
      <c r="B23" s="22" t="s">
        <v>166</v>
      </c>
      <c r="C23" s="23" t="s">
        <v>167</v>
      </c>
      <c r="D23" s="34" t="s">
        <v>168</v>
      </c>
      <c r="E23" s="27"/>
      <c r="F23" s="27"/>
      <c r="G23" s="25" t="s">
        <v>169</v>
      </c>
      <c r="H23" s="26"/>
      <c r="I23" s="26">
        <v>3</v>
      </c>
      <c r="J23" s="26"/>
      <c r="K23" s="26"/>
      <c r="L23" s="26"/>
      <c r="M23" s="26"/>
      <c r="N23" s="26"/>
      <c r="O23" s="26"/>
      <c r="P23" s="26"/>
      <c r="Q23" s="26"/>
      <c r="R23" s="26"/>
      <c r="S23" s="26"/>
      <c r="T23" s="26"/>
      <c r="U23" s="26"/>
      <c r="V23" s="26"/>
      <c r="W23" s="26"/>
      <c r="X23" s="26"/>
      <c r="Y23" s="26"/>
      <c r="Z23" s="26"/>
      <c r="AA23" s="26"/>
      <c r="AB23" s="26">
        <f t="shared" si="5"/>
        <v>3</v>
      </c>
      <c r="AC23" s="46"/>
      <c r="AD23" s="46"/>
      <c r="AE23" s="46"/>
      <c r="AF23" s="26">
        <f>ROUND((AD23+AE23+AC23)*$AF$4,2)</f>
        <v>0</v>
      </c>
      <c r="AG23" s="26">
        <f>ROUND((AD23+AE23+AF23+AC23)*AG$4,2)</f>
        <v>0</v>
      </c>
      <c r="AH23" s="26">
        <f>ROUND((AD23+AE23+AF23+AG23+AC23)*AH$4,2)</f>
        <v>0</v>
      </c>
      <c r="AI23" s="26">
        <f t="shared" si="6"/>
        <v>0</v>
      </c>
      <c r="AJ23" s="26">
        <f t="shared" si="7"/>
        <v>0</v>
      </c>
      <c r="AK23" s="26">
        <f t="shared" si="8"/>
        <v>0</v>
      </c>
      <c r="AL23" s="26">
        <f t="shared" si="9"/>
        <v>0</v>
      </c>
      <c r="AM23" s="25"/>
      <c r="AN23" s="50"/>
      <c r="AO23" s="60"/>
      <c r="AP23" s="60"/>
      <c r="AQ23" s="60"/>
      <c r="AR23" s="60"/>
      <c r="AS23" s="60"/>
    </row>
    <row r="24" s="1" customFormat="1" ht="30" customHeight="1" outlineLevel="1" spans="1:45">
      <c r="A24" s="21" t="s">
        <v>170</v>
      </c>
      <c r="B24" s="22"/>
      <c r="C24" s="23"/>
      <c r="D24" s="24"/>
      <c r="E24" s="25"/>
      <c r="F24" s="25"/>
      <c r="G24" s="25"/>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16">
        <f>SUM(AK25:AK26)</f>
        <v>0</v>
      </c>
      <c r="AL24" s="16">
        <f>SUM(AL25:AL26)</f>
        <v>0</v>
      </c>
      <c r="AM24" s="25"/>
      <c r="AN24" s="50"/>
      <c r="AO24" s="60"/>
      <c r="AP24" s="61"/>
      <c r="AQ24" s="60"/>
      <c r="AR24" s="60"/>
      <c r="AS24" s="60"/>
    </row>
    <row r="25" s="1" customFormat="1" ht="48" customHeight="1" outlineLevel="2" spans="1:45">
      <c r="A25" s="25">
        <v>1</v>
      </c>
      <c r="B25" s="22" t="s">
        <v>171</v>
      </c>
      <c r="C25" s="23" t="s">
        <v>172</v>
      </c>
      <c r="D25" s="24" t="s">
        <v>162</v>
      </c>
      <c r="E25" s="35"/>
      <c r="F25" s="35"/>
      <c r="G25" s="25" t="s">
        <v>173</v>
      </c>
      <c r="H25" s="26">
        <v>265.784</v>
      </c>
      <c r="I25" s="26">
        <v>328.565</v>
      </c>
      <c r="J25" s="26">
        <v>273.614</v>
      </c>
      <c r="K25" s="26">
        <v>342.984</v>
      </c>
      <c r="L25" s="26">
        <f>K25</f>
        <v>342.984</v>
      </c>
      <c r="M25" s="26">
        <v>310.551</v>
      </c>
      <c r="N25" s="26">
        <v>291.255</v>
      </c>
      <c r="O25" s="26">
        <v>290.365</v>
      </c>
      <c r="P25" s="26">
        <v>276.035</v>
      </c>
      <c r="Q25" s="26">
        <v>279.546</v>
      </c>
      <c r="R25" s="26">
        <v>245.589</v>
      </c>
      <c r="S25" s="26">
        <v>111.454</v>
      </c>
      <c r="T25" s="26">
        <v>43.94</v>
      </c>
      <c r="U25" s="26">
        <v>287.862</v>
      </c>
      <c r="V25" s="26">
        <v>271.224</v>
      </c>
      <c r="W25" s="40">
        <v>3.5</v>
      </c>
      <c r="X25" s="26">
        <v>3.5</v>
      </c>
      <c r="Y25" s="26">
        <v>3.5</v>
      </c>
      <c r="Z25" s="26">
        <v>52.5</v>
      </c>
      <c r="AA25" s="26">
        <f>12</f>
        <v>12</v>
      </c>
      <c r="AB25" s="26">
        <f t="shared" ref="AB25:AB37" si="10">SUM(H25:AA25)</f>
        <v>4036.752</v>
      </c>
      <c r="AC25" s="46"/>
      <c r="AD25" s="46"/>
      <c r="AE25" s="46"/>
      <c r="AF25" s="26">
        <f>ROUND((AD25+AE25+AC25)*$AF$4,2)</f>
        <v>0</v>
      </c>
      <c r="AG25" s="26">
        <f>ROUND((AD25+AE25+AF25+AC25)*AG$4,2)</f>
        <v>0</v>
      </c>
      <c r="AH25" s="26">
        <f>ROUND((AD25+AE25+AF25+AG25+AC25)*AH$4,2)</f>
        <v>0</v>
      </c>
      <c r="AI25" s="26">
        <f t="shared" ref="AI25:AI44" si="11">ROUND((AD25+AE25+AF25+AG25+AC25),2)</f>
        <v>0</v>
      </c>
      <c r="AJ25" s="26">
        <f t="shared" ref="AJ25:AJ44" si="12">ROUND((AD25+AE25+AF25+AG25+AH25+AC25),2)</f>
        <v>0</v>
      </c>
      <c r="AK25" s="26">
        <f t="shared" ref="AK25:AK44" si="13">ROUND((AI25*AB25),2)</f>
        <v>0</v>
      </c>
      <c r="AL25" s="26">
        <f t="shared" ref="AL25:AL44" si="14">ROUND((AJ25*AB25),2)</f>
        <v>0</v>
      </c>
      <c r="AM25" s="25"/>
      <c r="AN25" s="50"/>
      <c r="AO25" s="60"/>
      <c r="AP25" s="60"/>
      <c r="AQ25" s="60"/>
      <c r="AR25" s="60"/>
      <c r="AS25" s="60"/>
    </row>
    <row r="26" s="1" customFormat="1" ht="48" customHeight="1" outlineLevel="2" spans="1:45">
      <c r="A26" s="25">
        <v>2</v>
      </c>
      <c r="B26" s="22" t="s">
        <v>174</v>
      </c>
      <c r="C26" s="23" t="s">
        <v>175</v>
      </c>
      <c r="D26" s="24" t="s">
        <v>162</v>
      </c>
      <c r="E26" s="27"/>
      <c r="F26" s="27"/>
      <c r="G26" s="25" t="s">
        <v>173</v>
      </c>
      <c r="H26" s="26">
        <v>8.385</v>
      </c>
      <c r="I26" s="26">
        <v>9.01</v>
      </c>
      <c r="J26" s="26">
        <v>8.258</v>
      </c>
      <c r="K26" s="26">
        <v>6.99</v>
      </c>
      <c r="L26" s="26">
        <f>K26</f>
        <v>6.99</v>
      </c>
      <c r="M26" s="26">
        <v>8.482</v>
      </c>
      <c r="N26" s="26">
        <v>6.929</v>
      </c>
      <c r="O26" s="26">
        <v>8.26</v>
      </c>
      <c r="P26" s="26">
        <v>6.043</v>
      </c>
      <c r="Q26" s="26">
        <v>6.947</v>
      </c>
      <c r="R26" s="26">
        <v>6.832</v>
      </c>
      <c r="S26" s="26">
        <v>6.957</v>
      </c>
      <c r="T26" s="26">
        <v>8.407</v>
      </c>
      <c r="U26" s="26">
        <v>6.754</v>
      </c>
      <c r="V26" s="26">
        <v>7.197</v>
      </c>
      <c r="W26" s="26">
        <v>11.18</v>
      </c>
      <c r="X26" s="26">
        <v>9.4</v>
      </c>
      <c r="Y26" s="26">
        <v>9.4</v>
      </c>
      <c r="Z26" s="26">
        <v>2000</v>
      </c>
      <c r="AA26" s="26">
        <v>3385.904</v>
      </c>
      <c r="AB26" s="26">
        <f t="shared" si="10"/>
        <v>5528.325</v>
      </c>
      <c r="AC26" s="46"/>
      <c r="AD26" s="46"/>
      <c r="AE26" s="46"/>
      <c r="AF26" s="26">
        <f>ROUND((AD26+AE26+AC26)*$AF$4,2)</f>
        <v>0</v>
      </c>
      <c r="AG26" s="26">
        <f>ROUND((AD26+AE26+AF26+AC26)*AG$4,2)</f>
        <v>0</v>
      </c>
      <c r="AH26" s="26">
        <f>ROUND((AD26+AE26+AF26+AG26+AC26)*AH$4,2)</f>
        <v>0</v>
      </c>
      <c r="AI26" s="26">
        <f t="shared" si="11"/>
        <v>0</v>
      </c>
      <c r="AJ26" s="26">
        <f t="shared" si="12"/>
        <v>0</v>
      </c>
      <c r="AK26" s="26">
        <f t="shared" si="13"/>
        <v>0</v>
      </c>
      <c r="AL26" s="26">
        <f t="shared" si="14"/>
        <v>0</v>
      </c>
      <c r="AM26" s="25"/>
      <c r="AN26" s="50"/>
      <c r="AO26" s="60"/>
      <c r="AP26" s="61"/>
      <c r="AQ26" s="60"/>
      <c r="AR26" s="60"/>
      <c r="AS26" s="60"/>
    </row>
    <row r="27" s="1" customFormat="1" ht="30" customHeight="1" outlineLevel="1" spans="1:45">
      <c r="A27" s="13" t="s">
        <v>176</v>
      </c>
      <c r="B27" s="13" t="s">
        <v>177</v>
      </c>
      <c r="C27" s="36" t="s">
        <v>178</v>
      </c>
      <c r="D27" s="36"/>
      <c r="E27" s="36"/>
      <c r="F27" s="36"/>
      <c r="G27" s="13" t="s">
        <v>179</v>
      </c>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f>AK6+AK17+AK24</f>
        <v>0</v>
      </c>
      <c r="AL27" s="16">
        <f>AL6+AL17+AL24</f>
        <v>0</v>
      </c>
      <c r="AM27" s="13"/>
      <c r="AN27" s="50"/>
      <c r="AO27" s="60"/>
      <c r="AP27" s="61"/>
      <c r="AQ27" s="60"/>
      <c r="AR27" s="60"/>
      <c r="AS27" s="60"/>
    </row>
    <row r="28" s="1" customFormat="1" ht="37" customHeight="1" spans="1:45">
      <c r="A28" s="17" t="s">
        <v>180</v>
      </c>
      <c r="B28" s="17"/>
      <c r="C28" s="17"/>
      <c r="D28" s="18"/>
      <c r="E28" s="37"/>
      <c r="F28" s="37"/>
      <c r="G28" s="37"/>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20">
        <f>AK66</f>
        <v>0</v>
      </c>
      <c r="AL28" s="20">
        <f>AL66</f>
        <v>0</v>
      </c>
      <c r="AM28" s="54"/>
      <c r="AN28" s="50"/>
      <c r="AO28" s="60"/>
      <c r="AP28" s="61"/>
      <c r="AQ28" s="60"/>
      <c r="AR28" s="60"/>
      <c r="AS28" s="60"/>
    </row>
    <row r="29" s="1" customFormat="1" ht="30" customHeight="1" outlineLevel="1" spans="1:45">
      <c r="A29" s="21" t="s">
        <v>181</v>
      </c>
      <c r="B29" s="22"/>
      <c r="C29" s="23"/>
      <c r="D29" s="24"/>
      <c r="E29" s="25"/>
      <c r="F29" s="25"/>
      <c r="G29" s="25"/>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16">
        <f>SUM(AK30:AK44)</f>
        <v>0</v>
      </c>
      <c r="AL29" s="16">
        <f>SUM(AL30:AL44)</f>
        <v>0</v>
      </c>
      <c r="AM29" s="24"/>
      <c r="AN29" s="50"/>
      <c r="AO29" s="64"/>
      <c r="AP29" s="65"/>
      <c r="AQ29" s="64"/>
      <c r="AR29" s="64"/>
      <c r="AS29" s="64"/>
    </row>
    <row r="30" s="1" customFormat="1" ht="36" outlineLevel="2" spans="1:45">
      <c r="A30" s="25">
        <v>1</v>
      </c>
      <c r="B30" s="23" t="s">
        <v>182</v>
      </c>
      <c r="C30" s="23" t="s">
        <v>183</v>
      </c>
      <c r="D30" s="24" t="s">
        <v>184</v>
      </c>
      <c r="E30" s="27"/>
      <c r="F30" s="27"/>
      <c r="G30" s="25" t="s">
        <v>134</v>
      </c>
      <c r="H30" s="26">
        <v>3</v>
      </c>
      <c r="I30" s="26">
        <v>3</v>
      </c>
      <c r="J30" s="26">
        <v>3</v>
      </c>
      <c r="K30" s="26">
        <v>2</v>
      </c>
      <c r="L30" s="26">
        <v>2</v>
      </c>
      <c r="M30" s="26">
        <v>3</v>
      </c>
      <c r="N30" s="26">
        <v>3</v>
      </c>
      <c r="O30" s="26">
        <v>3</v>
      </c>
      <c r="P30" s="26">
        <v>3</v>
      </c>
      <c r="Q30" s="26">
        <v>3</v>
      </c>
      <c r="R30" s="26">
        <v>2</v>
      </c>
      <c r="S30" s="26">
        <v>2</v>
      </c>
      <c r="T30" s="26">
        <v>2</v>
      </c>
      <c r="U30" s="26">
        <v>3</v>
      </c>
      <c r="V30" s="26">
        <v>3</v>
      </c>
      <c r="W30" s="26"/>
      <c r="X30" s="26"/>
      <c r="Y30" s="26"/>
      <c r="Z30" s="26"/>
      <c r="AA30" s="26">
        <f>37+26</f>
        <v>63</v>
      </c>
      <c r="AB30" s="26">
        <f t="shared" si="10"/>
        <v>103</v>
      </c>
      <c r="AC30" s="46"/>
      <c r="AD30" s="46"/>
      <c r="AE30" s="46"/>
      <c r="AF30" s="26">
        <f>ROUND((AD30+AE30+AC30)*$AF$4,2)</f>
        <v>0</v>
      </c>
      <c r="AG30" s="26">
        <f>ROUND((AD30+AE30+AF30+AC30)*AG$4,2)</f>
        <v>0</v>
      </c>
      <c r="AH30" s="26">
        <f>ROUND((AD30+AE30+AF30+AG30+AC30)*AH$4,2)</f>
        <v>0</v>
      </c>
      <c r="AI30" s="26">
        <f t="shared" si="11"/>
        <v>0</v>
      </c>
      <c r="AJ30" s="26">
        <f t="shared" si="12"/>
        <v>0</v>
      </c>
      <c r="AK30" s="26">
        <f t="shared" si="13"/>
        <v>0</v>
      </c>
      <c r="AL30" s="26">
        <f t="shared" si="14"/>
        <v>0</v>
      </c>
      <c r="AM30" s="24"/>
      <c r="AN30" s="50"/>
      <c r="AO30" s="64"/>
      <c r="AP30" s="64"/>
      <c r="AQ30" s="64"/>
      <c r="AR30" s="64"/>
      <c r="AS30" s="64"/>
    </row>
    <row r="31" s="1" customFormat="1" ht="36" outlineLevel="2" spans="1:45">
      <c r="A31" s="25">
        <v>2</v>
      </c>
      <c r="B31" s="23" t="s">
        <v>185</v>
      </c>
      <c r="C31" s="23" t="s">
        <v>183</v>
      </c>
      <c r="D31" s="24" t="s">
        <v>184</v>
      </c>
      <c r="E31" s="27"/>
      <c r="F31" s="27"/>
      <c r="G31" s="25" t="s">
        <v>134</v>
      </c>
      <c r="H31" s="26"/>
      <c r="I31" s="26">
        <v>3</v>
      </c>
      <c r="J31" s="26">
        <v>2</v>
      </c>
      <c r="K31" s="26">
        <v>3</v>
      </c>
      <c r="L31" s="26">
        <v>3</v>
      </c>
      <c r="M31" s="26">
        <v>1</v>
      </c>
      <c r="N31" s="26">
        <v>1</v>
      </c>
      <c r="O31" s="26">
        <v>1</v>
      </c>
      <c r="P31" s="26">
        <v>1</v>
      </c>
      <c r="Q31" s="26"/>
      <c r="R31" s="26"/>
      <c r="S31" s="26"/>
      <c r="T31" s="26">
        <v>1</v>
      </c>
      <c r="U31" s="26">
        <v>2</v>
      </c>
      <c r="V31" s="26"/>
      <c r="W31" s="26">
        <v>1</v>
      </c>
      <c r="X31" s="26">
        <v>1</v>
      </c>
      <c r="Y31" s="26">
        <v>1</v>
      </c>
      <c r="Z31" s="26">
        <f>40+57</f>
        <v>97</v>
      </c>
      <c r="AA31" s="26">
        <f>72+58</f>
        <v>130</v>
      </c>
      <c r="AB31" s="26">
        <f t="shared" si="10"/>
        <v>248</v>
      </c>
      <c r="AC31" s="46"/>
      <c r="AD31" s="46"/>
      <c r="AE31" s="46"/>
      <c r="AF31" s="26">
        <f>ROUND((AD31+AE31+AC31)*$AF$4,2)</f>
        <v>0</v>
      </c>
      <c r="AG31" s="26">
        <f>ROUND((AD31+AE31+AF31+AC31)*AG$4,2)</f>
        <v>0</v>
      </c>
      <c r="AH31" s="26">
        <f>ROUND((AD31+AE31+AF31+AG31+AC31)*AH$4,2)</f>
        <v>0</v>
      </c>
      <c r="AI31" s="26">
        <f t="shared" si="11"/>
        <v>0</v>
      </c>
      <c r="AJ31" s="26">
        <f t="shared" si="12"/>
        <v>0</v>
      </c>
      <c r="AK31" s="26">
        <f t="shared" si="13"/>
        <v>0</v>
      </c>
      <c r="AL31" s="26">
        <f t="shared" si="14"/>
        <v>0</v>
      </c>
      <c r="AM31" s="24"/>
      <c r="AN31" s="50"/>
      <c r="AO31" s="64"/>
      <c r="AP31" s="64"/>
      <c r="AQ31" s="64"/>
      <c r="AR31" s="64"/>
      <c r="AS31" s="64"/>
    </row>
    <row r="32" s="1" customFormat="1" ht="36" outlineLevel="2" spans="1:45">
      <c r="A32" s="25">
        <v>3</v>
      </c>
      <c r="B32" s="23" t="s">
        <v>186</v>
      </c>
      <c r="C32" s="23" t="s">
        <v>187</v>
      </c>
      <c r="D32" s="24" t="s">
        <v>184</v>
      </c>
      <c r="E32" s="27"/>
      <c r="F32" s="27"/>
      <c r="G32" s="25" t="s">
        <v>134</v>
      </c>
      <c r="H32" s="26"/>
      <c r="I32" s="26"/>
      <c r="J32" s="26"/>
      <c r="K32" s="26"/>
      <c r="L32" s="26"/>
      <c r="M32" s="26"/>
      <c r="N32" s="26"/>
      <c r="O32" s="26"/>
      <c r="P32" s="26"/>
      <c r="Q32" s="26"/>
      <c r="R32" s="26"/>
      <c r="S32" s="26"/>
      <c r="T32" s="26"/>
      <c r="U32" s="26"/>
      <c r="V32" s="26"/>
      <c r="W32" s="26"/>
      <c r="X32" s="26"/>
      <c r="Y32" s="26"/>
      <c r="Z32" s="26"/>
      <c r="AA32" s="26">
        <f>16</f>
        <v>16</v>
      </c>
      <c r="AB32" s="26">
        <f t="shared" si="10"/>
        <v>16</v>
      </c>
      <c r="AC32" s="46"/>
      <c r="AD32" s="46"/>
      <c r="AE32" s="46"/>
      <c r="AF32" s="26">
        <f>ROUND((AD32+AE32+AC32)*$AF$4,2)</f>
        <v>0</v>
      </c>
      <c r="AG32" s="26">
        <f>ROUND((AD32+AE32+AF32+AC32)*AG$4,2)</f>
        <v>0</v>
      </c>
      <c r="AH32" s="26">
        <f>ROUND((AD32+AE32+AF32+AG32+AC32)*AH$4,2)</f>
        <v>0</v>
      </c>
      <c r="AI32" s="26">
        <f t="shared" si="11"/>
        <v>0</v>
      </c>
      <c r="AJ32" s="26">
        <f t="shared" si="12"/>
        <v>0</v>
      </c>
      <c r="AK32" s="26">
        <f t="shared" si="13"/>
        <v>0</v>
      </c>
      <c r="AL32" s="26">
        <f t="shared" si="14"/>
        <v>0</v>
      </c>
      <c r="AM32" s="24"/>
      <c r="AN32" s="50"/>
      <c r="AO32" s="64"/>
      <c r="AP32" s="64"/>
      <c r="AQ32" s="64"/>
      <c r="AR32" s="64"/>
      <c r="AS32" s="64"/>
    </row>
    <row r="33" s="1" customFormat="1" ht="283" customHeight="1" outlineLevel="2" spans="1:45">
      <c r="A33" s="25">
        <v>4</v>
      </c>
      <c r="B33" s="23" t="s">
        <v>188</v>
      </c>
      <c r="C33" s="23" t="s">
        <v>189</v>
      </c>
      <c r="D33" s="24" t="s">
        <v>184</v>
      </c>
      <c r="E33" s="27"/>
      <c r="F33" s="27"/>
      <c r="G33" s="25" t="s">
        <v>134</v>
      </c>
      <c r="H33" s="26"/>
      <c r="I33" s="26"/>
      <c r="J33" s="26"/>
      <c r="K33" s="26"/>
      <c r="L33" s="26"/>
      <c r="M33" s="26"/>
      <c r="N33" s="26"/>
      <c r="O33" s="26"/>
      <c r="P33" s="26"/>
      <c r="Q33" s="26"/>
      <c r="R33" s="26"/>
      <c r="S33" s="26"/>
      <c r="T33" s="26"/>
      <c r="U33" s="26"/>
      <c r="V33" s="26"/>
      <c r="W33" s="26"/>
      <c r="X33" s="26"/>
      <c r="Y33" s="26"/>
      <c r="Z33" s="26">
        <v>2</v>
      </c>
      <c r="AA33" s="26"/>
      <c r="AB33" s="26">
        <f t="shared" si="10"/>
        <v>2</v>
      </c>
      <c r="AC33" s="46"/>
      <c r="AD33" s="46"/>
      <c r="AE33" s="46"/>
      <c r="AF33" s="26">
        <f>ROUND((AD33+AE33+AC33)*$AF$4,2)</f>
        <v>0</v>
      </c>
      <c r="AG33" s="26">
        <f>ROUND((AD33+AE33+AF33+AC33)*AG$4,2)</f>
        <v>0</v>
      </c>
      <c r="AH33" s="26">
        <f>ROUND((AD33+AE33+AF33+AG33+AC33)*AH$4,2)</f>
        <v>0</v>
      </c>
      <c r="AI33" s="26">
        <f t="shared" si="11"/>
        <v>0</v>
      </c>
      <c r="AJ33" s="26">
        <f t="shared" si="12"/>
        <v>0</v>
      </c>
      <c r="AK33" s="26">
        <f t="shared" si="13"/>
        <v>0</v>
      </c>
      <c r="AL33" s="26">
        <f t="shared" si="14"/>
        <v>0</v>
      </c>
      <c r="AM33" s="24"/>
      <c r="AN33" s="50"/>
      <c r="AO33" s="64"/>
      <c r="AP33" s="65"/>
      <c r="AQ33" s="64"/>
      <c r="AR33" s="64"/>
      <c r="AS33" s="64"/>
    </row>
    <row r="34" s="1" customFormat="1" ht="48" customHeight="1" outlineLevel="2" spans="1:45">
      <c r="A34" s="25">
        <v>5</v>
      </c>
      <c r="B34" s="23" t="s">
        <v>190</v>
      </c>
      <c r="C34" s="23" t="s">
        <v>190</v>
      </c>
      <c r="D34" s="24" t="s">
        <v>184</v>
      </c>
      <c r="E34" s="27"/>
      <c r="F34" s="27"/>
      <c r="G34" s="25" t="s">
        <v>191</v>
      </c>
      <c r="H34" s="26">
        <f t="shared" ref="H34:AA34" si="15">H31+H32</f>
        <v>0</v>
      </c>
      <c r="I34" s="26">
        <f t="shared" si="15"/>
        <v>3</v>
      </c>
      <c r="J34" s="26">
        <f t="shared" si="15"/>
        <v>2</v>
      </c>
      <c r="K34" s="26">
        <f t="shared" si="15"/>
        <v>3</v>
      </c>
      <c r="L34" s="26">
        <f t="shared" si="15"/>
        <v>3</v>
      </c>
      <c r="M34" s="26">
        <f t="shared" si="15"/>
        <v>1</v>
      </c>
      <c r="N34" s="26">
        <f t="shared" si="15"/>
        <v>1</v>
      </c>
      <c r="O34" s="26">
        <f t="shared" si="15"/>
        <v>1</v>
      </c>
      <c r="P34" s="26">
        <f t="shared" si="15"/>
        <v>1</v>
      </c>
      <c r="Q34" s="26">
        <f t="shared" si="15"/>
        <v>0</v>
      </c>
      <c r="R34" s="26">
        <f t="shared" si="15"/>
        <v>0</v>
      </c>
      <c r="S34" s="26">
        <f t="shared" si="15"/>
        <v>0</v>
      </c>
      <c r="T34" s="26">
        <f t="shared" si="15"/>
        <v>1</v>
      </c>
      <c r="U34" s="26">
        <f t="shared" si="15"/>
        <v>2</v>
      </c>
      <c r="V34" s="26">
        <f t="shared" si="15"/>
        <v>0</v>
      </c>
      <c r="W34" s="26">
        <f t="shared" si="15"/>
        <v>1</v>
      </c>
      <c r="X34" s="26">
        <f t="shared" si="15"/>
        <v>1</v>
      </c>
      <c r="Y34" s="26">
        <f t="shared" si="15"/>
        <v>1</v>
      </c>
      <c r="Z34" s="26">
        <f t="shared" si="15"/>
        <v>97</v>
      </c>
      <c r="AA34" s="26">
        <f t="shared" si="15"/>
        <v>146</v>
      </c>
      <c r="AB34" s="26">
        <f t="shared" si="10"/>
        <v>264</v>
      </c>
      <c r="AC34" s="46"/>
      <c r="AD34" s="46"/>
      <c r="AE34" s="46"/>
      <c r="AF34" s="26">
        <f>ROUND((AD34+AE34+AC34)*$AF$4,2)</f>
        <v>0</v>
      </c>
      <c r="AG34" s="26">
        <f>ROUND((AD34+AE34+AF34+AC34)*AG$4,2)</f>
        <v>0</v>
      </c>
      <c r="AH34" s="26">
        <f>ROUND((AD34+AE34+AF34+AG34+AC34)*AH$4,2)</f>
        <v>0</v>
      </c>
      <c r="AI34" s="26">
        <f t="shared" si="11"/>
        <v>0</v>
      </c>
      <c r="AJ34" s="26">
        <f t="shared" si="12"/>
        <v>0</v>
      </c>
      <c r="AK34" s="26">
        <f t="shared" si="13"/>
        <v>0</v>
      </c>
      <c r="AL34" s="26">
        <f t="shared" si="14"/>
        <v>0</v>
      </c>
      <c r="AM34" s="24"/>
      <c r="AN34" s="50"/>
      <c r="AO34" s="64"/>
      <c r="AP34" s="66"/>
      <c r="AQ34" s="64"/>
      <c r="AR34" s="64"/>
      <c r="AS34" s="64"/>
    </row>
    <row r="35" s="1" customFormat="1" ht="48" customHeight="1" outlineLevel="2" spans="1:45">
      <c r="A35" s="25">
        <v>6</v>
      </c>
      <c r="B35" s="23" t="s">
        <v>192</v>
      </c>
      <c r="C35" s="23" t="s">
        <v>192</v>
      </c>
      <c r="D35" s="24" t="s">
        <v>184</v>
      </c>
      <c r="E35" s="27"/>
      <c r="F35" s="27"/>
      <c r="G35" s="25" t="s">
        <v>191</v>
      </c>
      <c r="H35" s="26">
        <f t="shared" ref="H35:AA35" si="16">H33</f>
        <v>0</v>
      </c>
      <c r="I35" s="26">
        <f t="shared" si="16"/>
        <v>0</v>
      </c>
      <c r="J35" s="26">
        <f t="shared" si="16"/>
        <v>0</v>
      </c>
      <c r="K35" s="26">
        <f t="shared" si="16"/>
        <v>0</v>
      </c>
      <c r="L35" s="26">
        <f t="shared" si="16"/>
        <v>0</v>
      </c>
      <c r="M35" s="26">
        <f t="shared" si="16"/>
        <v>0</v>
      </c>
      <c r="N35" s="26">
        <f t="shared" si="16"/>
        <v>0</v>
      </c>
      <c r="O35" s="26">
        <f t="shared" si="16"/>
        <v>0</v>
      </c>
      <c r="P35" s="26">
        <f t="shared" si="16"/>
        <v>0</v>
      </c>
      <c r="Q35" s="26">
        <f t="shared" si="16"/>
        <v>0</v>
      </c>
      <c r="R35" s="26">
        <f t="shared" si="16"/>
        <v>0</v>
      </c>
      <c r="S35" s="26">
        <f t="shared" si="16"/>
        <v>0</v>
      </c>
      <c r="T35" s="26">
        <f t="shared" si="16"/>
        <v>0</v>
      </c>
      <c r="U35" s="26">
        <f t="shared" si="16"/>
        <v>0</v>
      </c>
      <c r="V35" s="26">
        <f t="shared" si="16"/>
        <v>0</v>
      </c>
      <c r="W35" s="26">
        <f t="shared" si="16"/>
        <v>0</v>
      </c>
      <c r="X35" s="26">
        <f t="shared" si="16"/>
        <v>0</v>
      </c>
      <c r="Y35" s="26">
        <f t="shared" si="16"/>
        <v>0</v>
      </c>
      <c r="Z35" s="26">
        <f t="shared" si="16"/>
        <v>2</v>
      </c>
      <c r="AA35" s="26">
        <f t="shared" si="16"/>
        <v>0</v>
      </c>
      <c r="AB35" s="26">
        <f t="shared" si="10"/>
        <v>2</v>
      </c>
      <c r="AC35" s="46"/>
      <c r="AD35" s="46"/>
      <c r="AE35" s="46"/>
      <c r="AF35" s="26">
        <f>ROUND((AD35+AE35+AC35)*$AF$4,2)</f>
        <v>0</v>
      </c>
      <c r="AG35" s="26">
        <f>ROUND((AD35+AE35+AF35+AC35)*AG$4,2)</f>
        <v>0</v>
      </c>
      <c r="AH35" s="26">
        <f>ROUND((AD35+AE35+AF35+AG35+AC35)*AH$4,2)</f>
        <v>0</v>
      </c>
      <c r="AI35" s="26">
        <f t="shared" si="11"/>
        <v>0</v>
      </c>
      <c r="AJ35" s="26">
        <f t="shared" si="12"/>
        <v>0</v>
      </c>
      <c r="AK35" s="26">
        <f t="shared" si="13"/>
        <v>0</v>
      </c>
      <c r="AL35" s="26">
        <f t="shared" si="14"/>
        <v>0</v>
      </c>
      <c r="AM35" s="24"/>
      <c r="AN35" s="50"/>
      <c r="AO35" s="64"/>
      <c r="AP35" s="65"/>
      <c r="AQ35" s="64"/>
      <c r="AR35" s="64"/>
      <c r="AS35" s="64"/>
    </row>
    <row r="36" s="1" customFormat="1" ht="48" customHeight="1" outlineLevel="2" spans="1:45">
      <c r="A36" s="25">
        <v>7</v>
      </c>
      <c r="B36" s="23" t="s">
        <v>193</v>
      </c>
      <c r="C36" s="23" t="s">
        <v>194</v>
      </c>
      <c r="D36" s="24" t="s">
        <v>184</v>
      </c>
      <c r="E36" s="27"/>
      <c r="F36" s="27"/>
      <c r="G36" s="25" t="s">
        <v>134</v>
      </c>
      <c r="H36" s="26">
        <v>2</v>
      </c>
      <c r="I36" s="26">
        <v>2</v>
      </c>
      <c r="J36" s="26">
        <v>2</v>
      </c>
      <c r="K36" s="26">
        <v>2</v>
      </c>
      <c r="L36" s="26">
        <v>2</v>
      </c>
      <c r="M36" s="26">
        <v>2</v>
      </c>
      <c r="N36" s="26">
        <v>2</v>
      </c>
      <c r="O36" s="26">
        <v>2</v>
      </c>
      <c r="P36" s="26">
        <v>2</v>
      </c>
      <c r="Q36" s="26">
        <v>2</v>
      </c>
      <c r="R36" s="26">
        <v>2</v>
      </c>
      <c r="S36" s="26">
        <v>2</v>
      </c>
      <c r="T36" s="26">
        <v>2</v>
      </c>
      <c r="U36" s="26">
        <v>2</v>
      </c>
      <c r="V36" s="26">
        <v>2</v>
      </c>
      <c r="W36" s="26"/>
      <c r="X36" s="26"/>
      <c r="Y36" s="26"/>
      <c r="Z36" s="26"/>
      <c r="AA36" s="26">
        <v>3</v>
      </c>
      <c r="AB36" s="26">
        <f t="shared" si="10"/>
        <v>33</v>
      </c>
      <c r="AC36" s="46"/>
      <c r="AD36" s="46"/>
      <c r="AE36" s="46"/>
      <c r="AF36" s="26">
        <f>ROUND((AD36+AE36+AC36)*$AF$4,2)</f>
        <v>0</v>
      </c>
      <c r="AG36" s="26">
        <f>ROUND((AD36+AE36+AF36+AC36)*AG$4,2)</f>
        <v>0</v>
      </c>
      <c r="AH36" s="26">
        <f>ROUND((AD36+AE36+AF36+AG36+AC36)*AH$4,2)</f>
        <v>0</v>
      </c>
      <c r="AI36" s="26">
        <f t="shared" si="11"/>
        <v>0</v>
      </c>
      <c r="AJ36" s="26">
        <f t="shared" si="12"/>
        <v>0</v>
      </c>
      <c r="AK36" s="26">
        <f t="shared" si="13"/>
        <v>0</v>
      </c>
      <c r="AL36" s="26">
        <f t="shared" si="14"/>
        <v>0</v>
      </c>
      <c r="AM36" s="24"/>
      <c r="AN36" s="50"/>
      <c r="AO36" s="64"/>
      <c r="AP36" s="64"/>
      <c r="AQ36" s="64"/>
      <c r="AR36" s="64"/>
      <c r="AS36" s="64"/>
    </row>
    <row r="37" s="1" customFormat="1" ht="48" customHeight="1" outlineLevel="2" spans="1:45">
      <c r="A37" s="25">
        <v>8</v>
      </c>
      <c r="B37" s="23" t="s">
        <v>195</v>
      </c>
      <c r="C37" s="23" t="s">
        <v>196</v>
      </c>
      <c r="D37" s="24" t="s">
        <v>184</v>
      </c>
      <c r="E37" s="27"/>
      <c r="F37" s="27"/>
      <c r="G37" s="25" t="s">
        <v>146</v>
      </c>
      <c r="H37" s="26">
        <v>5</v>
      </c>
      <c r="I37" s="26">
        <v>4</v>
      </c>
      <c r="J37" s="26">
        <v>6</v>
      </c>
      <c r="K37" s="26">
        <v>5</v>
      </c>
      <c r="L37" s="26">
        <v>6</v>
      </c>
      <c r="M37" s="26">
        <v>6</v>
      </c>
      <c r="N37" s="26">
        <v>6</v>
      </c>
      <c r="O37" s="26">
        <v>8</v>
      </c>
      <c r="P37" s="26">
        <v>6</v>
      </c>
      <c r="Q37" s="26">
        <v>6</v>
      </c>
      <c r="R37" s="26">
        <v>6</v>
      </c>
      <c r="S37" s="26">
        <v>4</v>
      </c>
      <c r="T37" s="26">
        <v>4</v>
      </c>
      <c r="U37" s="26">
        <v>3</v>
      </c>
      <c r="V37" s="26">
        <v>3</v>
      </c>
      <c r="W37" s="26">
        <v>1</v>
      </c>
      <c r="X37" s="26">
        <v>1</v>
      </c>
      <c r="Y37" s="26">
        <v>1</v>
      </c>
      <c r="Z37" s="26">
        <v>15</v>
      </c>
      <c r="AA37" s="26">
        <v>17</v>
      </c>
      <c r="AB37" s="26">
        <f t="shared" si="10"/>
        <v>113</v>
      </c>
      <c r="AC37" s="48"/>
      <c r="AD37" s="49"/>
      <c r="AE37" s="49"/>
      <c r="AF37" s="26">
        <f>ROUND((AD37+AE37+AC37)*$AF$4,2)</f>
        <v>0</v>
      </c>
      <c r="AG37" s="26">
        <f>ROUND((AD37+AE37+AF37+AC37)*AG$4,2)</f>
        <v>0</v>
      </c>
      <c r="AH37" s="26">
        <f>ROUND((AD37+AE37+AF37+AG37+AC37)*AH$4,2)</f>
        <v>0</v>
      </c>
      <c r="AI37" s="26">
        <f t="shared" si="11"/>
        <v>0</v>
      </c>
      <c r="AJ37" s="26">
        <f t="shared" si="12"/>
        <v>0</v>
      </c>
      <c r="AK37" s="26">
        <f t="shared" si="13"/>
        <v>0</v>
      </c>
      <c r="AL37" s="26">
        <f t="shared" si="14"/>
        <v>0</v>
      </c>
      <c r="AM37" s="24"/>
      <c r="AN37" s="50"/>
      <c r="AO37" s="64"/>
      <c r="AP37" s="64"/>
      <c r="AQ37" s="64"/>
      <c r="AR37" s="64"/>
      <c r="AS37" s="64"/>
    </row>
    <row r="38" s="3" customFormat="1" ht="48" customHeight="1" outlineLevel="2" spans="1:45">
      <c r="A38" s="28">
        <v>9</v>
      </c>
      <c r="B38" s="30" t="s">
        <v>197</v>
      </c>
      <c r="C38" s="30" t="s">
        <v>198</v>
      </c>
      <c r="D38" s="31" t="s">
        <v>184</v>
      </c>
      <c r="E38" s="32"/>
      <c r="F38" s="32"/>
      <c r="G38" s="28" t="s">
        <v>146</v>
      </c>
      <c r="H38" s="33"/>
      <c r="I38" s="33"/>
      <c r="J38" s="33"/>
      <c r="K38" s="33"/>
      <c r="L38" s="33"/>
      <c r="M38" s="33"/>
      <c r="N38" s="33"/>
      <c r="O38" s="33"/>
      <c r="P38" s="33"/>
      <c r="Q38" s="33"/>
      <c r="R38" s="33"/>
      <c r="S38" s="33"/>
      <c r="T38" s="33"/>
      <c r="U38" s="33"/>
      <c r="V38" s="33"/>
      <c r="W38" s="33"/>
      <c r="X38" s="33"/>
      <c r="Y38" s="33"/>
      <c r="Z38" s="33"/>
      <c r="AA38" s="33"/>
      <c r="AB38" s="33">
        <v>2</v>
      </c>
      <c r="AC38" s="47"/>
      <c r="AD38" s="47"/>
      <c r="AE38" s="47"/>
      <c r="AF38" s="33">
        <f>ROUND((AD38+AE38+AC38)*$AF$4,2)</f>
        <v>0</v>
      </c>
      <c r="AG38" s="33">
        <f>ROUND((AD38+AE38+AF38+AC38)*AG$4,2)</f>
        <v>0</v>
      </c>
      <c r="AH38" s="33">
        <f>ROUND((AD38+AE38+AF38+AG38+AC38)*AH$4,2)</f>
        <v>0</v>
      </c>
      <c r="AI38" s="33">
        <f t="shared" si="11"/>
        <v>0</v>
      </c>
      <c r="AJ38" s="33">
        <f t="shared" si="12"/>
        <v>0</v>
      </c>
      <c r="AK38" s="33">
        <f t="shared" si="13"/>
        <v>0</v>
      </c>
      <c r="AL38" s="33">
        <f t="shared" si="14"/>
        <v>0</v>
      </c>
      <c r="AM38" s="31"/>
      <c r="AN38" s="53"/>
      <c r="AO38" s="67"/>
      <c r="AP38" s="67"/>
      <c r="AQ38" s="67"/>
      <c r="AR38" s="67"/>
      <c r="AS38" s="67"/>
    </row>
    <row r="39" s="1" customFormat="1" ht="48" customHeight="1" outlineLevel="2" spans="1:45">
      <c r="A39" s="25">
        <v>10</v>
      </c>
      <c r="B39" s="23" t="s">
        <v>199</v>
      </c>
      <c r="C39" s="23" t="s">
        <v>200</v>
      </c>
      <c r="D39" s="24" t="s">
        <v>184</v>
      </c>
      <c r="E39" s="27"/>
      <c r="F39" s="27"/>
      <c r="G39" s="25" t="s">
        <v>156</v>
      </c>
      <c r="H39" s="26">
        <v>2</v>
      </c>
      <c r="I39" s="26">
        <v>2</v>
      </c>
      <c r="J39" s="26">
        <v>2</v>
      </c>
      <c r="K39" s="26">
        <v>2</v>
      </c>
      <c r="L39" s="26">
        <v>2</v>
      </c>
      <c r="M39" s="26">
        <v>2</v>
      </c>
      <c r="N39" s="26">
        <v>2</v>
      </c>
      <c r="O39" s="26">
        <v>2</v>
      </c>
      <c r="P39" s="26">
        <v>2</v>
      </c>
      <c r="Q39" s="26">
        <v>2</v>
      </c>
      <c r="R39" s="26">
        <v>2</v>
      </c>
      <c r="S39" s="26">
        <v>2</v>
      </c>
      <c r="T39" s="26">
        <v>2</v>
      </c>
      <c r="U39" s="26">
        <v>2</v>
      </c>
      <c r="V39" s="26">
        <v>2</v>
      </c>
      <c r="W39" s="26"/>
      <c r="X39" s="26"/>
      <c r="Y39" s="26"/>
      <c r="Z39" s="26">
        <v>3</v>
      </c>
      <c r="AA39" s="26"/>
      <c r="AB39" s="26">
        <f t="shared" ref="AB39:AB42" si="17">SUM(H39:AA39)</f>
        <v>33</v>
      </c>
      <c r="AC39" s="46"/>
      <c r="AD39" s="46"/>
      <c r="AE39" s="46"/>
      <c r="AF39" s="26">
        <f>ROUND((AD39+AE39+AC39)*$AF$4,2)</f>
        <v>0</v>
      </c>
      <c r="AG39" s="26">
        <f>ROUND((AD39+AE39+AF39+AC39)*AG$4,2)</f>
        <v>0</v>
      </c>
      <c r="AH39" s="26">
        <f>ROUND((AD39+AE39+AF39+AG39+AC39)*AH$4,2)</f>
        <v>0</v>
      </c>
      <c r="AI39" s="26">
        <f t="shared" si="11"/>
        <v>0</v>
      </c>
      <c r="AJ39" s="26">
        <f t="shared" si="12"/>
        <v>0</v>
      </c>
      <c r="AK39" s="26">
        <f t="shared" si="13"/>
        <v>0</v>
      </c>
      <c r="AL39" s="26">
        <f t="shared" si="14"/>
        <v>0</v>
      </c>
      <c r="AM39" s="24"/>
      <c r="AN39" s="50"/>
      <c r="AO39" s="64"/>
      <c r="AP39" s="64"/>
      <c r="AQ39" s="64"/>
      <c r="AR39" s="64"/>
      <c r="AS39" s="64"/>
    </row>
    <row r="40" s="1" customFormat="1" ht="48" customHeight="1" outlineLevel="2" spans="1:45">
      <c r="A40" s="25">
        <v>11</v>
      </c>
      <c r="B40" s="23" t="s">
        <v>201</v>
      </c>
      <c r="C40" s="23" t="s">
        <v>202</v>
      </c>
      <c r="D40" s="24" t="s">
        <v>168</v>
      </c>
      <c r="E40" s="27"/>
      <c r="F40" s="27"/>
      <c r="G40" s="25" t="s">
        <v>203</v>
      </c>
      <c r="H40" s="26"/>
      <c r="I40" s="26"/>
      <c r="J40" s="26"/>
      <c r="K40" s="26"/>
      <c r="L40" s="26"/>
      <c r="M40" s="26"/>
      <c r="N40" s="26"/>
      <c r="O40" s="26"/>
      <c r="P40" s="26"/>
      <c r="Q40" s="26"/>
      <c r="R40" s="26"/>
      <c r="S40" s="26"/>
      <c r="T40" s="26"/>
      <c r="U40" s="26"/>
      <c r="V40" s="26"/>
      <c r="W40" s="26"/>
      <c r="X40" s="26"/>
      <c r="Y40" s="26"/>
      <c r="Z40" s="26">
        <v>17</v>
      </c>
      <c r="AA40" s="26"/>
      <c r="AB40" s="26">
        <f t="shared" si="17"/>
        <v>17</v>
      </c>
      <c r="AC40" s="46"/>
      <c r="AD40" s="46"/>
      <c r="AE40" s="46"/>
      <c r="AF40" s="26">
        <f>ROUND((AD40+AE40+AC40)*$AF$4,2)</f>
        <v>0</v>
      </c>
      <c r="AG40" s="26">
        <f>ROUND((AD40+AE40+AF40+AC40)*AG$4,2)</f>
        <v>0</v>
      </c>
      <c r="AH40" s="26">
        <f>ROUND((AD40+AE40+AF40+AG40+AC40)*AH$4,2)</f>
        <v>0</v>
      </c>
      <c r="AI40" s="26">
        <f t="shared" si="11"/>
        <v>0</v>
      </c>
      <c r="AJ40" s="26">
        <f t="shared" si="12"/>
        <v>0</v>
      </c>
      <c r="AK40" s="26">
        <f t="shared" si="13"/>
        <v>0</v>
      </c>
      <c r="AL40" s="26">
        <f t="shared" si="14"/>
        <v>0</v>
      </c>
      <c r="AM40" s="24"/>
      <c r="AN40" s="50"/>
      <c r="AO40" s="64"/>
      <c r="AP40" s="66"/>
      <c r="AQ40" s="64"/>
      <c r="AR40" s="64"/>
      <c r="AS40" s="64"/>
    </row>
    <row r="41" s="1" customFormat="1" ht="48" customHeight="1" outlineLevel="2" spans="1:45">
      <c r="A41" s="25">
        <v>12</v>
      </c>
      <c r="B41" s="22" t="s">
        <v>204</v>
      </c>
      <c r="C41" s="23" t="s">
        <v>205</v>
      </c>
      <c r="D41" s="24" t="s">
        <v>184</v>
      </c>
      <c r="E41" s="27"/>
      <c r="F41" s="27"/>
      <c r="G41" s="25" t="s">
        <v>134</v>
      </c>
      <c r="H41" s="26">
        <f t="shared" ref="H41:AA41" si="18">H39</f>
        <v>2</v>
      </c>
      <c r="I41" s="26">
        <f t="shared" si="18"/>
        <v>2</v>
      </c>
      <c r="J41" s="26">
        <f t="shared" si="18"/>
        <v>2</v>
      </c>
      <c r="K41" s="26">
        <f t="shared" si="18"/>
        <v>2</v>
      </c>
      <c r="L41" s="26">
        <f t="shared" si="18"/>
        <v>2</v>
      </c>
      <c r="M41" s="26">
        <f t="shared" si="18"/>
        <v>2</v>
      </c>
      <c r="N41" s="26">
        <f t="shared" si="18"/>
        <v>2</v>
      </c>
      <c r="O41" s="26">
        <f t="shared" si="18"/>
        <v>2</v>
      </c>
      <c r="P41" s="26">
        <f t="shared" si="18"/>
        <v>2</v>
      </c>
      <c r="Q41" s="26">
        <f t="shared" si="18"/>
        <v>2</v>
      </c>
      <c r="R41" s="26">
        <f t="shared" si="18"/>
        <v>2</v>
      </c>
      <c r="S41" s="26">
        <f t="shared" si="18"/>
        <v>2</v>
      </c>
      <c r="T41" s="26">
        <f t="shared" si="18"/>
        <v>2</v>
      </c>
      <c r="U41" s="26">
        <f t="shared" si="18"/>
        <v>2</v>
      </c>
      <c r="V41" s="26">
        <f t="shared" si="18"/>
        <v>2</v>
      </c>
      <c r="W41" s="26">
        <f t="shared" si="18"/>
        <v>0</v>
      </c>
      <c r="X41" s="26">
        <f t="shared" si="18"/>
        <v>0</v>
      </c>
      <c r="Y41" s="26">
        <f t="shared" si="18"/>
        <v>0</v>
      </c>
      <c r="Z41" s="26">
        <f t="shared" si="18"/>
        <v>3</v>
      </c>
      <c r="AA41" s="26">
        <f t="shared" si="18"/>
        <v>0</v>
      </c>
      <c r="AB41" s="26">
        <f t="shared" si="17"/>
        <v>33</v>
      </c>
      <c r="AC41" s="46"/>
      <c r="AD41" s="46"/>
      <c r="AE41" s="46"/>
      <c r="AF41" s="26">
        <f>ROUND((AD41+AE41+AC41)*$AF$4,2)</f>
        <v>0</v>
      </c>
      <c r="AG41" s="26">
        <f>ROUND((AD41+AE41+AF41+AC41)*AG$4,2)</f>
        <v>0</v>
      </c>
      <c r="AH41" s="26">
        <f>ROUND((AD41+AE41+AF41+AG41+AC41)*AH$4,2)</f>
        <v>0</v>
      </c>
      <c r="AI41" s="26">
        <f t="shared" si="11"/>
        <v>0</v>
      </c>
      <c r="AJ41" s="26">
        <f t="shared" si="12"/>
        <v>0</v>
      </c>
      <c r="AK41" s="26">
        <f t="shared" si="13"/>
        <v>0</v>
      </c>
      <c r="AL41" s="26">
        <f t="shared" si="14"/>
        <v>0</v>
      </c>
      <c r="AM41" s="24"/>
      <c r="AN41" s="50"/>
      <c r="AO41" s="64"/>
      <c r="AP41" s="66"/>
      <c r="AQ41" s="64"/>
      <c r="AR41" s="64"/>
      <c r="AS41" s="64"/>
    </row>
    <row r="42" s="1" customFormat="1" ht="78" customHeight="1" outlineLevel="2" spans="1:45">
      <c r="A42" s="25">
        <v>13</v>
      </c>
      <c r="B42" s="23" t="s">
        <v>206</v>
      </c>
      <c r="C42" s="23" t="s">
        <v>207</v>
      </c>
      <c r="D42" s="24" t="s">
        <v>208</v>
      </c>
      <c r="E42" s="27"/>
      <c r="F42" s="27"/>
      <c r="G42" s="25" t="s">
        <v>156</v>
      </c>
      <c r="H42" s="26"/>
      <c r="I42" s="26"/>
      <c r="J42" s="26"/>
      <c r="K42" s="26"/>
      <c r="L42" s="26"/>
      <c r="M42" s="26"/>
      <c r="N42" s="26"/>
      <c r="O42" s="26"/>
      <c r="P42" s="26"/>
      <c r="Q42" s="26"/>
      <c r="R42" s="26"/>
      <c r="S42" s="26"/>
      <c r="T42" s="26"/>
      <c r="U42" s="26"/>
      <c r="V42" s="26"/>
      <c r="W42" s="26">
        <v>2</v>
      </c>
      <c r="X42" s="26">
        <v>1</v>
      </c>
      <c r="Y42" s="26">
        <v>3</v>
      </c>
      <c r="Z42" s="26">
        <v>33</v>
      </c>
      <c r="AA42" s="26"/>
      <c r="AB42" s="26">
        <f t="shared" si="17"/>
        <v>39</v>
      </c>
      <c r="AC42" s="46"/>
      <c r="AD42" s="46"/>
      <c r="AE42" s="46"/>
      <c r="AF42" s="26">
        <f>ROUND((AD42+AE42+AC42)*$AF$4,2)</f>
        <v>0</v>
      </c>
      <c r="AG42" s="26">
        <f>ROUND((AD42+AE42+AF42+AC42)*AG$4,2)</f>
        <v>0</v>
      </c>
      <c r="AH42" s="26">
        <f>ROUND((AD42+AE42+AF42+AG42+AC42)*AH$4,2)</f>
        <v>0</v>
      </c>
      <c r="AI42" s="26">
        <f t="shared" si="11"/>
        <v>0</v>
      </c>
      <c r="AJ42" s="26">
        <f t="shared" si="12"/>
        <v>0</v>
      </c>
      <c r="AK42" s="26">
        <f t="shared" si="13"/>
        <v>0</v>
      </c>
      <c r="AL42" s="26">
        <f t="shared" si="14"/>
        <v>0</v>
      </c>
      <c r="AM42" s="24"/>
      <c r="AN42" s="50"/>
      <c r="AO42" s="64"/>
      <c r="AP42" s="66"/>
      <c r="AQ42" s="64"/>
      <c r="AR42" s="64"/>
      <c r="AS42" s="64"/>
    </row>
    <row r="43" s="1" customFormat="1" ht="48" customHeight="1" outlineLevel="2" spans="1:45">
      <c r="A43" s="25">
        <v>14</v>
      </c>
      <c r="B43" s="22" t="s">
        <v>209</v>
      </c>
      <c r="C43" s="23" t="s">
        <v>210</v>
      </c>
      <c r="D43" s="24" t="s">
        <v>168</v>
      </c>
      <c r="E43" s="27"/>
      <c r="F43" s="27"/>
      <c r="G43" s="25" t="s">
        <v>173</v>
      </c>
      <c r="H43" s="26"/>
      <c r="I43" s="26"/>
      <c r="J43" s="26"/>
      <c r="K43" s="26"/>
      <c r="L43" s="26"/>
      <c r="M43" s="26"/>
      <c r="N43" s="26"/>
      <c r="O43" s="26"/>
      <c r="P43" s="26"/>
      <c r="Q43" s="26"/>
      <c r="R43" s="26"/>
      <c r="S43" s="26"/>
      <c r="T43" s="26"/>
      <c r="U43" s="26"/>
      <c r="V43" s="26"/>
      <c r="W43" s="26"/>
      <c r="X43" s="26"/>
      <c r="Y43" s="26"/>
      <c r="Z43" s="26"/>
      <c r="AA43" s="26"/>
      <c r="AB43" s="26">
        <v>240</v>
      </c>
      <c r="AC43" s="46"/>
      <c r="AD43" s="46"/>
      <c r="AE43" s="46"/>
      <c r="AF43" s="26">
        <f>ROUND((AD43+AE43+AC43)*$AF$4,2)</f>
        <v>0</v>
      </c>
      <c r="AG43" s="26">
        <f>ROUND((AD43+AE43+AF43+AC43)*AG$4,2)</f>
        <v>0</v>
      </c>
      <c r="AH43" s="26">
        <f>ROUND((AD43+AE43+AF43+AG43+AC43)*AH$4,2)</f>
        <v>0</v>
      </c>
      <c r="AI43" s="26">
        <f t="shared" si="11"/>
        <v>0</v>
      </c>
      <c r="AJ43" s="26">
        <f t="shared" si="12"/>
        <v>0</v>
      </c>
      <c r="AK43" s="26">
        <f t="shared" si="13"/>
        <v>0</v>
      </c>
      <c r="AL43" s="26">
        <f t="shared" si="14"/>
        <v>0</v>
      </c>
      <c r="AM43" s="24"/>
      <c r="AN43" s="50"/>
      <c r="AO43" s="64"/>
      <c r="AP43" s="66"/>
      <c r="AQ43" s="64"/>
      <c r="AR43" s="64"/>
      <c r="AS43" s="64"/>
    </row>
    <row r="44" s="1" customFormat="1" ht="48" customHeight="1" outlineLevel="2" spans="1:45">
      <c r="A44" s="25">
        <v>15</v>
      </c>
      <c r="B44" s="22" t="s">
        <v>211</v>
      </c>
      <c r="C44" s="23" t="s">
        <v>212</v>
      </c>
      <c r="D44" s="24" t="s">
        <v>168</v>
      </c>
      <c r="E44" s="27"/>
      <c r="F44" s="27"/>
      <c r="G44" s="25" t="s">
        <v>173</v>
      </c>
      <c r="H44" s="26"/>
      <c r="I44" s="26"/>
      <c r="J44" s="26"/>
      <c r="K44" s="26"/>
      <c r="L44" s="26"/>
      <c r="M44" s="26"/>
      <c r="N44" s="26"/>
      <c r="O44" s="26"/>
      <c r="P44" s="26"/>
      <c r="Q44" s="26"/>
      <c r="R44" s="26"/>
      <c r="S44" s="26"/>
      <c r="T44" s="26"/>
      <c r="U44" s="26"/>
      <c r="V44" s="26"/>
      <c r="W44" s="26"/>
      <c r="X44" s="26"/>
      <c r="Y44" s="26"/>
      <c r="Z44" s="26"/>
      <c r="AA44" s="26"/>
      <c r="AB44" s="26">
        <v>240</v>
      </c>
      <c r="AC44" s="46"/>
      <c r="AD44" s="46"/>
      <c r="AE44" s="46"/>
      <c r="AF44" s="26">
        <f>ROUND((AD44+AE44+AC44)*$AF$4,2)</f>
        <v>0</v>
      </c>
      <c r="AG44" s="26">
        <f>ROUND((AD44+AE44+AF44+AC44)*AG$4,2)</f>
        <v>0</v>
      </c>
      <c r="AH44" s="26">
        <f>ROUND((AD44+AE44+AF44+AG44+AC44)*AH$4,2)</f>
        <v>0</v>
      </c>
      <c r="AI44" s="26">
        <f t="shared" si="11"/>
        <v>0</v>
      </c>
      <c r="AJ44" s="26">
        <f t="shared" si="12"/>
        <v>0</v>
      </c>
      <c r="AK44" s="26">
        <f t="shared" si="13"/>
        <v>0</v>
      </c>
      <c r="AL44" s="26">
        <f t="shared" si="14"/>
        <v>0</v>
      </c>
      <c r="AM44" s="24"/>
      <c r="AN44" s="50"/>
      <c r="AO44" s="64"/>
      <c r="AP44" s="66"/>
      <c r="AQ44" s="64"/>
      <c r="AR44" s="64"/>
      <c r="AS44" s="64"/>
    </row>
    <row r="45" s="1" customFormat="1" ht="30" customHeight="1" outlineLevel="1" spans="1:45">
      <c r="A45" s="21" t="s">
        <v>213</v>
      </c>
      <c r="B45" s="22"/>
      <c r="C45" s="23"/>
      <c r="D45" s="24"/>
      <c r="E45" s="25"/>
      <c r="F45" s="25"/>
      <c r="G45" s="25"/>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16">
        <f>SUM(AK46:AK58)</f>
        <v>0</v>
      </c>
      <c r="AL45" s="16">
        <f>SUM(AL46:AL58)</f>
        <v>0</v>
      </c>
      <c r="AM45" s="24"/>
      <c r="AN45" s="50"/>
      <c r="AO45" s="64"/>
      <c r="AP45" s="65"/>
      <c r="AQ45" s="64"/>
      <c r="AR45" s="64"/>
      <c r="AS45" s="64"/>
    </row>
    <row r="46" s="1" customFormat="1" ht="48" customHeight="1" outlineLevel="2" spans="1:45">
      <c r="A46" s="25">
        <v>1</v>
      </c>
      <c r="B46" s="22" t="s">
        <v>214</v>
      </c>
      <c r="C46" s="23" t="s">
        <v>215</v>
      </c>
      <c r="D46" s="24" t="s">
        <v>216</v>
      </c>
      <c r="E46" s="27"/>
      <c r="F46" s="27"/>
      <c r="G46" s="25" t="s">
        <v>134</v>
      </c>
      <c r="H46" s="26"/>
      <c r="I46" s="26"/>
      <c r="J46" s="26"/>
      <c r="K46" s="26"/>
      <c r="L46" s="26"/>
      <c r="M46" s="26"/>
      <c r="N46" s="26"/>
      <c r="O46" s="26"/>
      <c r="P46" s="26"/>
      <c r="Q46" s="26"/>
      <c r="R46" s="26"/>
      <c r="S46" s="26"/>
      <c r="T46" s="26"/>
      <c r="U46" s="26"/>
      <c r="V46" s="26"/>
      <c r="W46" s="26"/>
      <c r="X46" s="26"/>
      <c r="Y46" s="26"/>
      <c r="Z46" s="26">
        <v>15</v>
      </c>
      <c r="AA46" s="26"/>
      <c r="AB46" s="26">
        <f t="shared" ref="AB46:AB59" si="19">SUM(H46:AA46)</f>
        <v>15</v>
      </c>
      <c r="AC46" s="46"/>
      <c r="AD46" s="46"/>
      <c r="AE46" s="46"/>
      <c r="AF46" s="26">
        <f>ROUND((AD46+AE46+AC46)*$AF$4,2)</f>
        <v>0</v>
      </c>
      <c r="AG46" s="26">
        <f>ROUND((AD46+AE46+AF46+AC46)*AG$4,2)</f>
        <v>0</v>
      </c>
      <c r="AH46" s="26">
        <f>ROUND((AD46+AE46+AF46+AG46+AC46)*AH$4,2)</f>
        <v>0</v>
      </c>
      <c r="AI46" s="26">
        <f t="shared" ref="AI46:AI59" si="20">ROUND((AD46+AE46+AF46+AG46+AC46),2)</f>
        <v>0</v>
      </c>
      <c r="AJ46" s="26">
        <f t="shared" ref="AJ46:AJ59" si="21">ROUND((AD46+AE46+AF46+AG46+AH46+AC46),2)</f>
        <v>0</v>
      </c>
      <c r="AK46" s="26">
        <f t="shared" ref="AK46:AK59" si="22">ROUND((AI46*AB46),2)</f>
        <v>0</v>
      </c>
      <c r="AL46" s="26">
        <f t="shared" ref="AL46:AL59" si="23">ROUND((AJ46*AB46),2)</f>
        <v>0</v>
      </c>
      <c r="AM46" s="24"/>
      <c r="AN46" s="50"/>
      <c r="AO46" s="64"/>
      <c r="AP46" s="64"/>
      <c r="AQ46" s="64"/>
      <c r="AR46" s="64"/>
      <c r="AS46" s="64"/>
    </row>
    <row r="47" s="1" customFormat="1" ht="96" outlineLevel="2" spans="1:45">
      <c r="A47" s="25">
        <v>2</v>
      </c>
      <c r="B47" s="22" t="s">
        <v>217</v>
      </c>
      <c r="C47" s="23" t="s">
        <v>218</v>
      </c>
      <c r="D47" s="24" t="s">
        <v>184</v>
      </c>
      <c r="E47" s="27"/>
      <c r="F47" s="27"/>
      <c r="G47" s="25" t="s">
        <v>146</v>
      </c>
      <c r="H47" s="26"/>
      <c r="I47" s="26">
        <v>1</v>
      </c>
      <c r="J47" s="26"/>
      <c r="K47" s="26"/>
      <c r="L47" s="26"/>
      <c r="M47" s="26"/>
      <c r="N47" s="26"/>
      <c r="O47" s="26"/>
      <c r="P47" s="26"/>
      <c r="Q47" s="26"/>
      <c r="R47" s="26"/>
      <c r="S47" s="26"/>
      <c r="T47" s="26"/>
      <c r="U47" s="26"/>
      <c r="V47" s="26"/>
      <c r="W47" s="26"/>
      <c r="X47" s="26"/>
      <c r="Y47" s="26"/>
      <c r="Z47" s="26"/>
      <c r="AA47" s="26"/>
      <c r="AB47" s="26">
        <f t="shared" si="19"/>
        <v>1</v>
      </c>
      <c r="AC47" s="46"/>
      <c r="AD47" s="46"/>
      <c r="AE47" s="46"/>
      <c r="AF47" s="26">
        <f>ROUND((AD47+AE47+AC47)*$AF$4,2)</f>
        <v>0</v>
      </c>
      <c r="AG47" s="26">
        <f>ROUND((AD47+AE47+AF47+AC47)*AG$4,2)</f>
        <v>0</v>
      </c>
      <c r="AH47" s="26">
        <f>ROUND((AD47+AE47+AF47+AG47+AC47)*AH$4,2)</f>
        <v>0</v>
      </c>
      <c r="AI47" s="26">
        <f t="shared" si="20"/>
        <v>0</v>
      </c>
      <c r="AJ47" s="26">
        <f t="shared" si="21"/>
        <v>0</v>
      </c>
      <c r="AK47" s="26">
        <f t="shared" si="22"/>
        <v>0</v>
      </c>
      <c r="AL47" s="26">
        <f t="shared" si="23"/>
        <v>0</v>
      </c>
      <c r="AM47" s="24"/>
      <c r="AN47" s="50"/>
      <c r="AO47" s="64"/>
      <c r="AP47" s="65"/>
      <c r="AQ47" s="64"/>
      <c r="AR47" s="64"/>
      <c r="AS47" s="64"/>
    </row>
    <row r="48" s="1" customFormat="1" ht="48" customHeight="1" outlineLevel="2" spans="1:45">
      <c r="A48" s="25">
        <v>3</v>
      </c>
      <c r="B48" s="22" t="s">
        <v>219</v>
      </c>
      <c r="C48" s="23" t="s">
        <v>220</v>
      </c>
      <c r="D48" s="24" t="s">
        <v>184</v>
      </c>
      <c r="E48" s="27"/>
      <c r="F48" s="27"/>
      <c r="G48" s="25" t="s">
        <v>146</v>
      </c>
      <c r="H48" s="26"/>
      <c r="I48" s="26">
        <v>1</v>
      </c>
      <c r="J48" s="26"/>
      <c r="K48" s="26"/>
      <c r="L48" s="26"/>
      <c r="M48" s="26"/>
      <c r="N48" s="26"/>
      <c r="O48" s="26"/>
      <c r="P48" s="26"/>
      <c r="Q48" s="26"/>
      <c r="R48" s="26"/>
      <c r="S48" s="26"/>
      <c r="T48" s="26"/>
      <c r="U48" s="26"/>
      <c r="V48" s="26"/>
      <c r="W48" s="26"/>
      <c r="X48" s="26"/>
      <c r="Y48" s="26"/>
      <c r="Z48" s="26"/>
      <c r="AA48" s="26"/>
      <c r="AB48" s="26">
        <f t="shared" si="19"/>
        <v>1</v>
      </c>
      <c r="AC48" s="46"/>
      <c r="AD48" s="46"/>
      <c r="AE48" s="46"/>
      <c r="AF48" s="26">
        <f>ROUND((AD48+AE48+AC48)*$AF$4,2)</f>
        <v>0</v>
      </c>
      <c r="AG48" s="26">
        <f>ROUND((AD48+AE48+AF48+AC48)*AG$4,2)</f>
        <v>0</v>
      </c>
      <c r="AH48" s="26">
        <f>ROUND((AD48+AE48+AF48+AG48+AC48)*AH$4,2)</f>
        <v>0</v>
      </c>
      <c r="AI48" s="26">
        <f t="shared" si="20"/>
        <v>0</v>
      </c>
      <c r="AJ48" s="26">
        <f t="shared" si="21"/>
        <v>0</v>
      </c>
      <c r="AK48" s="26">
        <f t="shared" si="22"/>
        <v>0</v>
      </c>
      <c r="AL48" s="26">
        <f t="shared" si="23"/>
        <v>0</v>
      </c>
      <c r="AM48" s="24"/>
      <c r="AN48" s="50"/>
      <c r="AO48" s="64"/>
      <c r="AP48" s="65"/>
      <c r="AQ48" s="64"/>
      <c r="AR48" s="64"/>
      <c r="AS48" s="64"/>
    </row>
    <row r="49" s="1" customFormat="1" ht="48" customHeight="1" outlineLevel="2" spans="1:45">
      <c r="A49" s="25">
        <v>4</v>
      </c>
      <c r="B49" s="22" t="s">
        <v>221</v>
      </c>
      <c r="C49" s="23" t="s">
        <v>222</v>
      </c>
      <c r="D49" s="24" t="s">
        <v>223</v>
      </c>
      <c r="E49" s="27"/>
      <c r="F49" s="27"/>
      <c r="G49" s="25" t="s">
        <v>134</v>
      </c>
      <c r="H49" s="26"/>
      <c r="I49" s="26">
        <v>1</v>
      </c>
      <c r="J49" s="26"/>
      <c r="K49" s="26"/>
      <c r="L49" s="26"/>
      <c r="M49" s="26"/>
      <c r="N49" s="26"/>
      <c r="O49" s="26"/>
      <c r="P49" s="26"/>
      <c r="Q49" s="26"/>
      <c r="R49" s="26"/>
      <c r="S49" s="26"/>
      <c r="T49" s="26"/>
      <c r="U49" s="26"/>
      <c r="V49" s="26"/>
      <c r="W49" s="26"/>
      <c r="X49" s="26"/>
      <c r="Y49" s="26"/>
      <c r="Z49" s="26"/>
      <c r="AA49" s="26"/>
      <c r="AB49" s="26">
        <f t="shared" si="19"/>
        <v>1</v>
      </c>
      <c r="AC49" s="46"/>
      <c r="AD49" s="46"/>
      <c r="AE49" s="46"/>
      <c r="AF49" s="26">
        <f>ROUND((AD49+AE49+AC49)*$AF$4,2)</f>
        <v>0</v>
      </c>
      <c r="AG49" s="26">
        <f>ROUND((AD49+AE49+AF49+AC49)*AG$4,2)</f>
        <v>0</v>
      </c>
      <c r="AH49" s="26">
        <f>ROUND((AD49+AE49+AF49+AG49+AC49)*AH$4,2)</f>
        <v>0</v>
      </c>
      <c r="AI49" s="26">
        <f t="shared" si="20"/>
        <v>0</v>
      </c>
      <c r="AJ49" s="26">
        <f t="shared" si="21"/>
        <v>0</v>
      </c>
      <c r="AK49" s="26">
        <f t="shared" si="22"/>
        <v>0</v>
      </c>
      <c r="AL49" s="26">
        <f t="shared" si="23"/>
        <v>0</v>
      </c>
      <c r="AM49" s="24"/>
      <c r="AN49" s="50"/>
      <c r="AO49" s="64"/>
      <c r="AP49" s="65"/>
      <c r="AQ49" s="64"/>
      <c r="AR49" s="64"/>
      <c r="AS49" s="64"/>
    </row>
    <row r="50" s="1" customFormat="1" ht="48" customHeight="1" outlineLevel="2" spans="1:45">
      <c r="A50" s="25">
        <v>5</v>
      </c>
      <c r="B50" s="22" t="s">
        <v>224</v>
      </c>
      <c r="C50" s="23" t="s">
        <v>222</v>
      </c>
      <c r="D50" s="24" t="s">
        <v>223</v>
      </c>
      <c r="E50" s="27"/>
      <c r="F50" s="27"/>
      <c r="G50" s="25" t="s">
        <v>134</v>
      </c>
      <c r="H50" s="26"/>
      <c r="I50" s="26">
        <v>1</v>
      </c>
      <c r="J50" s="26"/>
      <c r="K50" s="26"/>
      <c r="L50" s="26"/>
      <c r="M50" s="26"/>
      <c r="N50" s="26"/>
      <c r="O50" s="26"/>
      <c r="P50" s="26"/>
      <c r="Q50" s="26"/>
      <c r="R50" s="26"/>
      <c r="S50" s="26"/>
      <c r="T50" s="26"/>
      <c r="U50" s="26"/>
      <c r="V50" s="26"/>
      <c r="W50" s="26"/>
      <c r="X50" s="26"/>
      <c r="Y50" s="26"/>
      <c r="Z50" s="26"/>
      <c r="AA50" s="26"/>
      <c r="AB50" s="26">
        <f t="shared" si="19"/>
        <v>1</v>
      </c>
      <c r="AC50" s="46"/>
      <c r="AD50" s="46"/>
      <c r="AE50" s="46"/>
      <c r="AF50" s="26">
        <f>ROUND((AD50+AE50+AC50)*$AF$4,2)</f>
        <v>0</v>
      </c>
      <c r="AG50" s="26">
        <f>ROUND((AD50+AE50+AF50+AC50)*AG$4,2)</f>
        <v>0</v>
      </c>
      <c r="AH50" s="26">
        <f>ROUND((AD50+AE50+AF50+AG50+AC50)*AH$4,2)</f>
        <v>0</v>
      </c>
      <c r="AI50" s="26">
        <f t="shared" si="20"/>
        <v>0</v>
      </c>
      <c r="AJ50" s="26">
        <f t="shared" si="21"/>
        <v>0</v>
      </c>
      <c r="AK50" s="26">
        <f t="shared" si="22"/>
        <v>0</v>
      </c>
      <c r="AL50" s="26">
        <f t="shared" si="23"/>
        <v>0</v>
      </c>
      <c r="AM50" s="24"/>
      <c r="AN50" s="50"/>
      <c r="AO50" s="64"/>
      <c r="AP50" s="65"/>
      <c r="AQ50" s="64"/>
      <c r="AR50" s="64"/>
      <c r="AS50" s="64"/>
    </row>
    <row r="51" s="1" customFormat="1" ht="60" outlineLevel="2" spans="1:45">
      <c r="A51" s="25">
        <v>6</v>
      </c>
      <c r="B51" s="22" t="s">
        <v>225</v>
      </c>
      <c r="C51" s="23" t="s">
        <v>226</v>
      </c>
      <c r="D51" s="24" t="s">
        <v>184</v>
      </c>
      <c r="E51" s="27"/>
      <c r="F51" s="27"/>
      <c r="G51" s="25" t="s">
        <v>146</v>
      </c>
      <c r="H51" s="26"/>
      <c r="I51" s="26">
        <v>1</v>
      </c>
      <c r="J51" s="26"/>
      <c r="K51" s="26"/>
      <c r="L51" s="26"/>
      <c r="M51" s="26"/>
      <c r="N51" s="26"/>
      <c r="O51" s="26"/>
      <c r="P51" s="26"/>
      <c r="Q51" s="26"/>
      <c r="R51" s="26"/>
      <c r="S51" s="26"/>
      <c r="T51" s="26"/>
      <c r="U51" s="26"/>
      <c r="V51" s="26"/>
      <c r="W51" s="26"/>
      <c r="X51" s="26"/>
      <c r="Y51" s="26"/>
      <c r="Z51" s="26"/>
      <c r="AA51" s="26"/>
      <c r="AB51" s="26">
        <f t="shared" si="19"/>
        <v>1</v>
      </c>
      <c r="AC51" s="46"/>
      <c r="AD51" s="46"/>
      <c r="AE51" s="46"/>
      <c r="AF51" s="26">
        <f>ROUND((AD51+AE51+AC51)*$AF$4,2)</f>
        <v>0</v>
      </c>
      <c r="AG51" s="26">
        <f>ROUND((AD51+AE51+AF51+AC51)*AG$4,2)</f>
        <v>0</v>
      </c>
      <c r="AH51" s="26">
        <f>ROUND((AD51+AE51+AF51+AG51+AC51)*AH$4,2)</f>
        <v>0</v>
      </c>
      <c r="AI51" s="26">
        <f t="shared" si="20"/>
        <v>0</v>
      </c>
      <c r="AJ51" s="26">
        <f t="shared" si="21"/>
        <v>0</v>
      </c>
      <c r="AK51" s="26">
        <f t="shared" si="22"/>
        <v>0</v>
      </c>
      <c r="AL51" s="26">
        <f t="shared" si="23"/>
        <v>0</v>
      </c>
      <c r="AM51" s="24"/>
      <c r="AN51" s="50"/>
      <c r="AO51" s="64"/>
      <c r="AP51" s="65"/>
      <c r="AQ51" s="64"/>
      <c r="AR51" s="64"/>
      <c r="AS51" s="64"/>
    </row>
    <row r="52" s="1" customFormat="1" ht="48" customHeight="1" outlineLevel="2" spans="1:45">
      <c r="A52" s="25">
        <v>7</v>
      </c>
      <c r="B52" s="22" t="s">
        <v>227</v>
      </c>
      <c r="C52" s="23" t="s">
        <v>228</v>
      </c>
      <c r="D52" s="24" t="s">
        <v>184</v>
      </c>
      <c r="E52" s="27"/>
      <c r="F52" s="27"/>
      <c r="G52" s="25" t="s">
        <v>134</v>
      </c>
      <c r="H52" s="26"/>
      <c r="I52" s="26">
        <v>1</v>
      </c>
      <c r="J52" s="26"/>
      <c r="K52" s="26"/>
      <c r="L52" s="26"/>
      <c r="M52" s="26"/>
      <c r="N52" s="26"/>
      <c r="O52" s="26"/>
      <c r="P52" s="26"/>
      <c r="Q52" s="26"/>
      <c r="R52" s="26"/>
      <c r="S52" s="26"/>
      <c r="T52" s="26"/>
      <c r="U52" s="26"/>
      <c r="V52" s="26"/>
      <c r="W52" s="26"/>
      <c r="X52" s="26"/>
      <c r="Y52" s="26"/>
      <c r="Z52" s="26"/>
      <c r="AA52" s="26"/>
      <c r="AB52" s="26">
        <f t="shared" si="19"/>
        <v>1</v>
      </c>
      <c r="AC52" s="46"/>
      <c r="AD52" s="46"/>
      <c r="AE52" s="46"/>
      <c r="AF52" s="26">
        <f>ROUND((AD52+AE52+AC52)*$AF$4,2)</f>
        <v>0</v>
      </c>
      <c r="AG52" s="26">
        <f>ROUND((AD52+AE52+AF52+AC52)*AG$4,2)</f>
        <v>0</v>
      </c>
      <c r="AH52" s="26">
        <f>ROUND((AD52+AE52+AF52+AG52+AC52)*AH$4,2)</f>
        <v>0</v>
      </c>
      <c r="AI52" s="26">
        <f t="shared" si="20"/>
        <v>0</v>
      </c>
      <c r="AJ52" s="26">
        <f t="shared" si="21"/>
        <v>0</v>
      </c>
      <c r="AK52" s="26">
        <f t="shared" si="22"/>
        <v>0</v>
      </c>
      <c r="AL52" s="26">
        <f t="shared" si="23"/>
        <v>0</v>
      </c>
      <c r="AM52" s="24"/>
      <c r="AN52" s="50"/>
      <c r="AO52" s="64"/>
      <c r="AP52" s="65"/>
      <c r="AQ52" s="64"/>
      <c r="AR52" s="64"/>
      <c r="AS52" s="64"/>
    </row>
    <row r="53" s="1" customFormat="1" ht="48" customHeight="1" outlineLevel="2" spans="1:45">
      <c r="A53" s="25">
        <v>8</v>
      </c>
      <c r="B53" s="23" t="s">
        <v>229</v>
      </c>
      <c r="C53" s="23" t="s">
        <v>230</v>
      </c>
      <c r="D53" s="24" t="s">
        <v>184</v>
      </c>
      <c r="E53" s="27"/>
      <c r="F53" s="27"/>
      <c r="G53" s="25" t="s">
        <v>134</v>
      </c>
      <c r="H53" s="26"/>
      <c r="I53" s="26">
        <v>9</v>
      </c>
      <c r="J53" s="26"/>
      <c r="K53" s="26"/>
      <c r="L53" s="26"/>
      <c r="M53" s="26"/>
      <c r="N53" s="26"/>
      <c r="O53" s="26"/>
      <c r="P53" s="26"/>
      <c r="Q53" s="26"/>
      <c r="R53" s="26"/>
      <c r="S53" s="26"/>
      <c r="T53" s="26"/>
      <c r="U53" s="26"/>
      <c r="V53" s="26"/>
      <c r="W53" s="26"/>
      <c r="X53" s="26"/>
      <c r="Y53" s="26"/>
      <c r="Z53" s="26"/>
      <c r="AA53" s="26"/>
      <c r="AB53" s="26">
        <f t="shared" si="19"/>
        <v>9</v>
      </c>
      <c r="AC53" s="46"/>
      <c r="AD53" s="46"/>
      <c r="AE53" s="46"/>
      <c r="AF53" s="26">
        <f>ROUND((AD53+AE53+AC53)*$AF$4,2)</f>
        <v>0</v>
      </c>
      <c r="AG53" s="26">
        <f>ROUND((AD53+AE53+AF53+AC53)*AG$4,2)</f>
        <v>0</v>
      </c>
      <c r="AH53" s="26">
        <f>ROUND((AD53+AE53+AF53+AG53+AC53)*AH$4,2)</f>
        <v>0</v>
      </c>
      <c r="AI53" s="26">
        <f t="shared" si="20"/>
        <v>0</v>
      </c>
      <c r="AJ53" s="26">
        <f t="shared" si="21"/>
        <v>0</v>
      </c>
      <c r="AK53" s="26">
        <f t="shared" si="22"/>
        <v>0</v>
      </c>
      <c r="AL53" s="26">
        <f t="shared" si="23"/>
        <v>0</v>
      </c>
      <c r="AM53" s="24"/>
      <c r="AN53" s="50"/>
      <c r="AO53" s="64"/>
      <c r="AP53" s="64"/>
      <c r="AQ53" s="64"/>
      <c r="AR53" s="64"/>
      <c r="AS53" s="64"/>
    </row>
    <row r="54" s="1" customFormat="1" ht="48" customHeight="1" outlineLevel="2" spans="1:45">
      <c r="A54" s="25">
        <v>9</v>
      </c>
      <c r="B54" s="22" t="s">
        <v>231</v>
      </c>
      <c r="C54" s="23" t="s">
        <v>232</v>
      </c>
      <c r="D54" s="24" t="s">
        <v>168</v>
      </c>
      <c r="E54" s="27"/>
      <c r="F54" s="27"/>
      <c r="G54" s="25" t="s">
        <v>146</v>
      </c>
      <c r="H54" s="26"/>
      <c r="I54" s="26">
        <v>1</v>
      </c>
      <c r="J54" s="26"/>
      <c r="K54" s="26"/>
      <c r="L54" s="26"/>
      <c r="M54" s="26"/>
      <c r="N54" s="26"/>
      <c r="O54" s="26"/>
      <c r="P54" s="26"/>
      <c r="Q54" s="26"/>
      <c r="R54" s="26"/>
      <c r="S54" s="26"/>
      <c r="T54" s="26"/>
      <c r="U54" s="26"/>
      <c r="V54" s="26"/>
      <c r="W54" s="26"/>
      <c r="X54" s="26"/>
      <c r="Y54" s="26"/>
      <c r="Z54" s="26"/>
      <c r="AA54" s="26"/>
      <c r="AB54" s="26">
        <f t="shared" si="19"/>
        <v>1</v>
      </c>
      <c r="AC54" s="46"/>
      <c r="AD54" s="46"/>
      <c r="AE54" s="46"/>
      <c r="AF54" s="26">
        <f>ROUND((AD54+AE54+AC54)*$AF$4,2)</f>
        <v>0</v>
      </c>
      <c r="AG54" s="26">
        <f>ROUND((AD54+AE54+AF54+AC54)*AG$4,2)</f>
        <v>0</v>
      </c>
      <c r="AH54" s="26">
        <f>ROUND((AD54+AE54+AF54+AG54+AC54)*AH$4,2)</f>
        <v>0</v>
      </c>
      <c r="AI54" s="26">
        <f t="shared" si="20"/>
        <v>0</v>
      </c>
      <c r="AJ54" s="26">
        <f t="shared" si="21"/>
        <v>0</v>
      </c>
      <c r="AK54" s="26">
        <f t="shared" si="22"/>
        <v>0</v>
      </c>
      <c r="AL54" s="26">
        <f t="shared" si="23"/>
        <v>0</v>
      </c>
      <c r="AM54" s="24"/>
      <c r="AN54" s="50"/>
      <c r="AO54" s="64"/>
      <c r="AP54" s="65"/>
      <c r="AQ54" s="64"/>
      <c r="AR54" s="64"/>
      <c r="AS54" s="64"/>
    </row>
    <row r="55" s="1" customFormat="1" ht="48" customHeight="1" outlineLevel="2" spans="1:45">
      <c r="A55" s="25">
        <v>10</v>
      </c>
      <c r="B55" s="22" t="s">
        <v>233</v>
      </c>
      <c r="C55" s="39" t="s">
        <v>234</v>
      </c>
      <c r="D55" s="24" t="s">
        <v>168</v>
      </c>
      <c r="E55" s="27"/>
      <c r="F55" s="27"/>
      <c r="G55" s="25" t="s">
        <v>173</v>
      </c>
      <c r="H55" s="26"/>
      <c r="I55" s="26">
        <v>100</v>
      </c>
      <c r="J55" s="26"/>
      <c r="K55" s="26"/>
      <c r="L55" s="26"/>
      <c r="M55" s="26"/>
      <c r="N55" s="26"/>
      <c r="O55" s="26"/>
      <c r="P55" s="26"/>
      <c r="Q55" s="26"/>
      <c r="R55" s="26"/>
      <c r="S55" s="26"/>
      <c r="T55" s="26"/>
      <c r="U55" s="26"/>
      <c r="V55" s="26"/>
      <c r="W55" s="26"/>
      <c r="X55" s="26"/>
      <c r="Y55" s="26"/>
      <c r="Z55" s="26"/>
      <c r="AA55" s="26"/>
      <c r="AB55" s="26">
        <f t="shared" si="19"/>
        <v>100</v>
      </c>
      <c r="AC55" s="46"/>
      <c r="AD55" s="46"/>
      <c r="AE55" s="46"/>
      <c r="AF55" s="26">
        <f>ROUND((AD55+AE55+AC55)*$AF$4,2)</f>
        <v>0</v>
      </c>
      <c r="AG55" s="26">
        <f>ROUND((AD55+AE55+AF55+AC55)*AG$4,2)</f>
        <v>0</v>
      </c>
      <c r="AH55" s="26">
        <f>ROUND((AD55+AE55+AF55+AG55+AC55)*AH$4,2)</f>
        <v>0</v>
      </c>
      <c r="AI55" s="26">
        <f t="shared" si="20"/>
        <v>0</v>
      </c>
      <c r="AJ55" s="26">
        <f t="shared" si="21"/>
        <v>0</v>
      </c>
      <c r="AK55" s="26">
        <f t="shared" si="22"/>
        <v>0</v>
      </c>
      <c r="AL55" s="26">
        <f t="shared" si="23"/>
        <v>0</v>
      </c>
      <c r="AM55" s="24"/>
      <c r="AN55" s="50"/>
      <c r="AO55" s="64"/>
      <c r="AP55" s="66"/>
      <c r="AQ55" s="64"/>
      <c r="AR55" s="64"/>
      <c r="AS55" s="64"/>
    </row>
    <row r="56" s="1" customFormat="1" ht="48" customHeight="1" outlineLevel="2" spans="1:45">
      <c r="A56" s="25">
        <v>11</v>
      </c>
      <c r="B56" s="22" t="s">
        <v>235</v>
      </c>
      <c r="C56" s="23" t="s">
        <v>236</v>
      </c>
      <c r="D56" s="24" t="s">
        <v>168</v>
      </c>
      <c r="E56" s="27"/>
      <c r="F56" s="27"/>
      <c r="G56" s="25" t="s">
        <v>191</v>
      </c>
      <c r="H56" s="26"/>
      <c r="I56" s="26">
        <v>2</v>
      </c>
      <c r="J56" s="26"/>
      <c r="K56" s="26"/>
      <c r="L56" s="26"/>
      <c r="M56" s="26"/>
      <c r="N56" s="26"/>
      <c r="O56" s="26"/>
      <c r="P56" s="26"/>
      <c r="Q56" s="26"/>
      <c r="R56" s="26"/>
      <c r="S56" s="26"/>
      <c r="T56" s="26"/>
      <c r="U56" s="26"/>
      <c r="V56" s="26"/>
      <c r="W56" s="26"/>
      <c r="X56" s="26"/>
      <c r="Y56" s="26"/>
      <c r="Z56" s="26"/>
      <c r="AA56" s="26"/>
      <c r="AB56" s="26">
        <f t="shared" si="19"/>
        <v>2</v>
      </c>
      <c r="AC56" s="46"/>
      <c r="AD56" s="46"/>
      <c r="AE56" s="46"/>
      <c r="AF56" s="26">
        <f>ROUND((AD56+AE56+AC56)*$AF$4,2)</f>
        <v>0</v>
      </c>
      <c r="AG56" s="26">
        <f>ROUND((AD56+AE56+AF56+AC56)*AG$4,2)</f>
        <v>0</v>
      </c>
      <c r="AH56" s="26">
        <f>ROUND((AD56+AE56+AF56+AG56+AC56)*AH$4,2)</f>
        <v>0</v>
      </c>
      <c r="AI56" s="26">
        <f t="shared" si="20"/>
        <v>0</v>
      </c>
      <c r="AJ56" s="26">
        <f t="shared" si="21"/>
        <v>0</v>
      </c>
      <c r="AK56" s="26">
        <f t="shared" si="22"/>
        <v>0</v>
      </c>
      <c r="AL56" s="26">
        <f t="shared" si="23"/>
        <v>0</v>
      </c>
      <c r="AM56" s="24"/>
      <c r="AN56" s="50"/>
      <c r="AO56" s="64"/>
      <c r="AP56" s="65"/>
      <c r="AQ56" s="64"/>
      <c r="AR56" s="64"/>
      <c r="AS56" s="64"/>
    </row>
    <row r="57" s="1" customFormat="1" ht="48" customHeight="1" outlineLevel="2" spans="1:45">
      <c r="A57" s="25">
        <v>12</v>
      </c>
      <c r="B57" s="22" t="s">
        <v>237</v>
      </c>
      <c r="C57" s="23" t="s">
        <v>238</v>
      </c>
      <c r="D57" s="24" t="s">
        <v>168</v>
      </c>
      <c r="E57" s="27"/>
      <c r="F57" s="27"/>
      <c r="G57" s="25" t="s">
        <v>146</v>
      </c>
      <c r="H57" s="26"/>
      <c r="I57" s="26">
        <v>1</v>
      </c>
      <c r="J57" s="26"/>
      <c r="K57" s="26"/>
      <c r="L57" s="26"/>
      <c r="M57" s="26"/>
      <c r="N57" s="26"/>
      <c r="O57" s="26"/>
      <c r="P57" s="26"/>
      <c r="Q57" s="26"/>
      <c r="R57" s="26"/>
      <c r="S57" s="26"/>
      <c r="T57" s="26"/>
      <c r="U57" s="26"/>
      <c r="V57" s="26"/>
      <c r="W57" s="26"/>
      <c r="X57" s="26"/>
      <c r="Y57" s="26"/>
      <c r="Z57" s="26"/>
      <c r="AA57" s="26"/>
      <c r="AB57" s="26">
        <f t="shared" si="19"/>
        <v>1</v>
      </c>
      <c r="AC57" s="46"/>
      <c r="AD57" s="46"/>
      <c r="AE57" s="46"/>
      <c r="AF57" s="26">
        <f>ROUND((AD57+AE57+AC57)*$AF$4,2)</f>
        <v>0</v>
      </c>
      <c r="AG57" s="26">
        <f>ROUND((AD57+AE57+AF57+AC57)*AG$4,2)</f>
        <v>0</v>
      </c>
      <c r="AH57" s="26">
        <f>ROUND((AD57+AE57+AF57+AG57+AC57)*AH$4,2)</f>
        <v>0</v>
      </c>
      <c r="AI57" s="26">
        <f t="shared" si="20"/>
        <v>0</v>
      </c>
      <c r="AJ57" s="26">
        <f t="shared" si="21"/>
        <v>0</v>
      </c>
      <c r="AK57" s="26">
        <f t="shared" si="22"/>
        <v>0</v>
      </c>
      <c r="AL57" s="26">
        <f t="shared" si="23"/>
        <v>0</v>
      </c>
      <c r="AM57" s="24"/>
      <c r="AN57" s="50"/>
      <c r="AO57" s="64"/>
      <c r="AP57" s="64"/>
      <c r="AQ57" s="64"/>
      <c r="AR57" s="64"/>
      <c r="AS57" s="64"/>
    </row>
    <row r="58" s="1" customFormat="1" ht="48" customHeight="1" outlineLevel="2" spans="1:45">
      <c r="A58" s="25">
        <v>13</v>
      </c>
      <c r="B58" s="22" t="s">
        <v>239</v>
      </c>
      <c r="C58" s="23" t="s">
        <v>240</v>
      </c>
      <c r="D58" s="24" t="s">
        <v>184</v>
      </c>
      <c r="E58" s="27"/>
      <c r="F58" s="27"/>
      <c r="G58" s="25" t="s">
        <v>146</v>
      </c>
      <c r="H58" s="26"/>
      <c r="I58" s="26">
        <v>1</v>
      </c>
      <c r="J58" s="26"/>
      <c r="K58" s="26"/>
      <c r="L58" s="26"/>
      <c r="M58" s="26"/>
      <c r="N58" s="26"/>
      <c r="O58" s="26"/>
      <c r="P58" s="26"/>
      <c r="Q58" s="26"/>
      <c r="R58" s="26"/>
      <c r="S58" s="26"/>
      <c r="T58" s="26"/>
      <c r="U58" s="26"/>
      <c r="V58" s="26"/>
      <c r="W58" s="26"/>
      <c r="X58" s="26"/>
      <c r="Y58" s="26"/>
      <c r="Z58" s="26"/>
      <c r="AA58" s="26"/>
      <c r="AB58" s="26">
        <f t="shared" si="19"/>
        <v>1</v>
      </c>
      <c r="AC58" s="46"/>
      <c r="AD58" s="46"/>
      <c r="AE58" s="46"/>
      <c r="AF58" s="26">
        <f>ROUND((AD58+AE58+AC58)*$AF$4,2)</f>
        <v>0</v>
      </c>
      <c r="AG58" s="26">
        <f>ROUND((AD58+AE58+AF58+AC58)*AG$4,2)</f>
        <v>0</v>
      </c>
      <c r="AH58" s="26">
        <f>ROUND((AD58+AE58+AF58+AG58+AC58)*AH$4,2)</f>
        <v>0</v>
      </c>
      <c r="AI58" s="26">
        <f t="shared" si="20"/>
        <v>0</v>
      </c>
      <c r="AJ58" s="26">
        <f t="shared" si="21"/>
        <v>0</v>
      </c>
      <c r="AK58" s="26">
        <f t="shared" si="22"/>
        <v>0</v>
      </c>
      <c r="AL58" s="26">
        <f t="shared" si="23"/>
        <v>0</v>
      </c>
      <c r="AM58" s="24"/>
      <c r="AN58" s="50"/>
      <c r="AO58" s="64"/>
      <c r="AP58" s="66"/>
      <c r="AQ58" s="66"/>
      <c r="AR58" s="66"/>
      <c r="AS58" s="66"/>
    </row>
    <row r="59" s="1" customFormat="1" ht="30" customHeight="1" outlineLevel="1" spans="1:45">
      <c r="A59" s="21" t="s">
        <v>170</v>
      </c>
      <c r="B59" s="22"/>
      <c r="C59" s="23"/>
      <c r="D59" s="24"/>
      <c r="E59" s="25"/>
      <c r="F59" s="25"/>
      <c r="G59" s="25"/>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16">
        <f>SUM(AK60:AK65)</f>
        <v>0</v>
      </c>
      <c r="AL59" s="16">
        <f>SUM(AL60:AL65)</f>
        <v>0</v>
      </c>
      <c r="AM59" s="24"/>
      <c r="AN59" s="50"/>
      <c r="AO59" s="64"/>
      <c r="AP59" s="65"/>
      <c r="AQ59" s="64"/>
      <c r="AR59" s="64"/>
      <c r="AS59" s="64"/>
    </row>
    <row r="60" s="1" customFormat="1" ht="48" customHeight="1" outlineLevel="2" spans="1:45">
      <c r="A60" s="25">
        <v>1</v>
      </c>
      <c r="B60" s="22" t="s">
        <v>241</v>
      </c>
      <c r="C60" s="23" t="s">
        <v>242</v>
      </c>
      <c r="D60" s="24" t="s">
        <v>162</v>
      </c>
      <c r="E60" s="35"/>
      <c r="F60" s="35"/>
      <c r="G60" s="25" t="s">
        <v>173</v>
      </c>
      <c r="H60" s="26"/>
      <c r="I60" s="26"/>
      <c r="J60" s="26"/>
      <c r="K60" s="26"/>
      <c r="L60" s="26"/>
      <c r="M60" s="26"/>
      <c r="N60" s="26"/>
      <c r="O60" s="26"/>
      <c r="P60" s="26"/>
      <c r="Q60" s="26"/>
      <c r="R60" s="26"/>
      <c r="S60" s="26"/>
      <c r="T60" s="26"/>
      <c r="U60" s="26"/>
      <c r="V60" s="26"/>
      <c r="W60" s="26"/>
      <c r="X60" s="26"/>
      <c r="Y60" s="26"/>
      <c r="Z60" s="26"/>
      <c r="AA60" s="26"/>
      <c r="AB60" s="26">
        <v>24400</v>
      </c>
      <c r="AC60" s="46"/>
      <c r="AD60" s="46"/>
      <c r="AE60" s="46"/>
      <c r="AF60" s="26">
        <f>ROUND((AD60+AE60+AC60)*$AF$4,2)</f>
        <v>0</v>
      </c>
      <c r="AG60" s="26">
        <f>ROUND((AD60+AE60+AF60+AC60)*AG$4,2)</f>
        <v>0</v>
      </c>
      <c r="AH60" s="26">
        <f>ROUND((AD60+AE60+AF60+AG60+AC60)*AH$4,2)</f>
        <v>0</v>
      </c>
      <c r="AI60" s="26">
        <f t="shared" ref="AI60:AI65" si="24">ROUND((AD60+AE60+AF60+AG60+AC60),2)</f>
        <v>0</v>
      </c>
      <c r="AJ60" s="26">
        <f t="shared" ref="AJ60:AJ65" si="25">ROUND((AD60+AE60+AF60+AG60+AH60+AC60),2)</f>
        <v>0</v>
      </c>
      <c r="AK60" s="26">
        <f t="shared" ref="AK60:AK65" si="26">ROUND((AI60*AB60),2)</f>
        <v>0</v>
      </c>
      <c r="AL60" s="26">
        <f t="shared" ref="AL60:AL65" si="27">ROUND((AJ60*AB60),2)</f>
        <v>0</v>
      </c>
      <c r="AM60" s="24"/>
      <c r="AN60" s="50"/>
      <c r="AO60" s="50"/>
      <c r="AP60" s="50"/>
      <c r="AQ60" s="50"/>
      <c r="AR60" s="50"/>
      <c r="AS60" s="50"/>
    </row>
    <row r="61" s="1" customFormat="1" ht="48" customHeight="1" outlineLevel="2" spans="1:45">
      <c r="A61" s="25">
        <v>2</v>
      </c>
      <c r="B61" s="23" t="s">
        <v>243</v>
      </c>
      <c r="C61" s="23" t="s">
        <v>244</v>
      </c>
      <c r="D61" s="24" t="s">
        <v>162</v>
      </c>
      <c r="E61" s="35"/>
      <c r="F61" s="35"/>
      <c r="G61" s="25" t="s">
        <v>173</v>
      </c>
      <c r="H61" s="26"/>
      <c r="I61" s="26"/>
      <c r="J61" s="26"/>
      <c r="K61" s="26"/>
      <c r="L61" s="26"/>
      <c r="M61" s="26"/>
      <c r="N61" s="26"/>
      <c r="O61" s="26"/>
      <c r="P61" s="26"/>
      <c r="Q61" s="26"/>
      <c r="R61" s="26"/>
      <c r="S61" s="26"/>
      <c r="T61" s="26"/>
      <c r="U61" s="26"/>
      <c r="V61" s="26"/>
      <c r="W61" s="26"/>
      <c r="X61" s="26"/>
      <c r="Y61" s="26"/>
      <c r="Z61" s="26"/>
      <c r="AA61" s="26"/>
      <c r="AB61" s="26">
        <v>24400</v>
      </c>
      <c r="AC61" s="46"/>
      <c r="AD61" s="46"/>
      <c r="AE61" s="46"/>
      <c r="AF61" s="26">
        <f>ROUND((AD61+AE61+AC61)*$AF$4,2)</f>
        <v>0</v>
      </c>
      <c r="AG61" s="26">
        <f>ROUND((AD61+AE61+AF61+AC61)*AG$4,2)</f>
        <v>0</v>
      </c>
      <c r="AH61" s="26">
        <f>ROUND((AD61+AE61+AF61+AG61+AC61)*AH$4,2)</f>
        <v>0</v>
      </c>
      <c r="AI61" s="26">
        <f t="shared" si="24"/>
        <v>0</v>
      </c>
      <c r="AJ61" s="26">
        <f t="shared" si="25"/>
        <v>0</v>
      </c>
      <c r="AK61" s="26">
        <f t="shared" si="26"/>
        <v>0</v>
      </c>
      <c r="AL61" s="26">
        <f t="shared" si="27"/>
        <v>0</v>
      </c>
      <c r="AM61" s="24"/>
      <c r="AN61" s="50"/>
      <c r="AO61" s="50"/>
      <c r="AP61" s="9"/>
      <c r="AQ61" s="50"/>
      <c r="AR61" s="50"/>
      <c r="AS61" s="50"/>
    </row>
    <row r="62" s="1" customFormat="1" ht="48" customHeight="1" outlineLevel="2" spans="1:45">
      <c r="A62" s="25">
        <v>3</v>
      </c>
      <c r="B62" s="22" t="s">
        <v>245</v>
      </c>
      <c r="C62" s="23" t="s">
        <v>175</v>
      </c>
      <c r="D62" s="24" t="s">
        <v>162</v>
      </c>
      <c r="E62" s="35"/>
      <c r="F62" s="35"/>
      <c r="G62" s="25" t="s">
        <v>173</v>
      </c>
      <c r="H62" s="26"/>
      <c r="I62" s="26"/>
      <c r="J62" s="26"/>
      <c r="K62" s="26"/>
      <c r="L62" s="26"/>
      <c r="M62" s="26"/>
      <c r="N62" s="26"/>
      <c r="O62" s="26"/>
      <c r="P62" s="26"/>
      <c r="Q62" s="26"/>
      <c r="R62" s="26"/>
      <c r="S62" s="26"/>
      <c r="T62" s="26"/>
      <c r="U62" s="26"/>
      <c r="V62" s="26"/>
      <c r="W62" s="26"/>
      <c r="X62" s="26"/>
      <c r="Y62" s="26"/>
      <c r="Z62" s="26"/>
      <c r="AA62" s="26"/>
      <c r="AB62" s="26">
        <v>4500</v>
      </c>
      <c r="AC62" s="46"/>
      <c r="AD62" s="46"/>
      <c r="AE62" s="46"/>
      <c r="AF62" s="26">
        <f>ROUND((AD62+AE62+AC62)*$AF$4,2)</f>
        <v>0</v>
      </c>
      <c r="AG62" s="26">
        <f>ROUND((AD62+AE62+AF62+AC62)*AG$4,2)</f>
        <v>0</v>
      </c>
      <c r="AH62" s="26">
        <f>ROUND((AD62+AE62+AF62+AG62+AC62)*AH$4,2)</f>
        <v>0</v>
      </c>
      <c r="AI62" s="26">
        <f t="shared" si="24"/>
        <v>0</v>
      </c>
      <c r="AJ62" s="26">
        <f t="shared" si="25"/>
        <v>0</v>
      </c>
      <c r="AK62" s="26">
        <f t="shared" si="26"/>
        <v>0</v>
      </c>
      <c r="AL62" s="26">
        <f t="shared" si="27"/>
        <v>0</v>
      </c>
      <c r="AM62" s="24"/>
      <c r="AN62" s="50"/>
      <c r="AO62" s="50"/>
      <c r="AP62" s="50"/>
      <c r="AQ62" s="50"/>
      <c r="AR62" s="50"/>
      <c r="AS62" s="50"/>
    </row>
    <row r="63" s="1" customFormat="1" ht="48" customHeight="1" outlineLevel="2" spans="1:45">
      <c r="A63" s="25">
        <v>4</v>
      </c>
      <c r="B63" s="23" t="s">
        <v>246</v>
      </c>
      <c r="C63" s="23" t="s">
        <v>247</v>
      </c>
      <c r="D63" s="24" t="s">
        <v>162</v>
      </c>
      <c r="E63" s="35"/>
      <c r="F63" s="35"/>
      <c r="G63" s="25" t="s">
        <v>173</v>
      </c>
      <c r="H63" s="26"/>
      <c r="I63" s="26"/>
      <c r="J63" s="26"/>
      <c r="K63" s="26"/>
      <c r="L63" s="26"/>
      <c r="M63" s="26"/>
      <c r="N63" s="26"/>
      <c r="O63" s="26"/>
      <c r="P63" s="26"/>
      <c r="Q63" s="26"/>
      <c r="R63" s="26"/>
      <c r="S63" s="26"/>
      <c r="T63" s="26"/>
      <c r="U63" s="26"/>
      <c r="V63" s="26"/>
      <c r="W63" s="26"/>
      <c r="X63" s="26"/>
      <c r="Y63" s="26"/>
      <c r="Z63" s="26"/>
      <c r="AA63" s="26"/>
      <c r="AB63" s="26">
        <v>3200</v>
      </c>
      <c r="AC63" s="46"/>
      <c r="AD63" s="46"/>
      <c r="AE63" s="46"/>
      <c r="AF63" s="26">
        <f>ROUND((AD63+AE63+AC63)*$AF$4,2)</f>
        <v>0</v>
      </c>
      <c r="AG63" s="26">
        <f>ROUND((AD63+AE63+AF63+AC63)*AG$4,2)</f>
        <v>0</v>
      </c>
      <c r="AH63" s="26">
        <f>ROUND((AD63+AE63+AF63+AG63+AC63)*AH$4,2)</f>
        <v>0</v>
      </c>
      <c r="AI63" s="26">
        <f t="shared" si="24"/>
        <v>0</v>
      </c>
      <c r="AJ63" s="26">
        <f t="shared" si="25"/>
        <v>0</v>
      </c>
      <c r="AK63" s="26">
        <f t="shared" si="26"/>
        <v>0</v>
      </c>
      <c r="AL63" s="26">
        <f t="shared" si="27"/>
        <v>0</v>
      </c>
      <c r="AM63" s="24"/>
      <c r="AN63" s="50"/>
      <c r="AO63" s="50"/>
      <c r="AP63" s="9"/>
      <c r="AQ63" s="50"/>
      <c r="AR63" s="50"/>
      <c r="AS63" s="50"/>
    </row>
    <row r="64" s="1" customFormat="1" ht="48" customHeight="1" outlineLevel="2" spans="1:45">
      <c r="A64" s="25">
        <v>5</v>
      </c>
      <c r="B64" s="23" t="s">
        <v>248</v>
      </c>
      <c r="C64" s="23" t="s">
        <v>249</v>
      </c>
      <c r="D64" s="24" t="s">
        <v>250</v>
      </c>
      <c r="E64" s="35"/>
      <c r="F64" s="35"/>
      <c r="G64" s="25" t="s">
        <v>173</v>
      </c>
      <c r="H64" s="26"/>
      <c r="I64" s="26"/>
      <c r="J64" s="26"/>
      <c r="K64" s="26"/>
      <c r="L64" s="26"/>
      <c r="M64" s="26"/>
      <c r="N64" s="26"/>
      <c r="O64" s="26"/>
      <c r="P64" s="26"/>
      <c r="Q64" s="26"/>
      <c r="R64" s="26"/>
      <c r="S64" s="26"/>
      <c r="T64" s="26"/>
      <c r="U64" s="26"/>
      <c r="V64" s="26"/>
      <c r="W64" s="26"/>
      <c r="X64" s="26"/>
      <c r="Y64" s="26"/>
      <c r="Z64" s="26"/>
      <c r="AA64" s="26"/>
      <c r="AB64" s="26">
        <v>300</v>
      </c>
      <c r="AC64" s="46"/>
      <c r="AD64" s="46"/>
      <c r="AE64" s="46"/>
      <c r="AF64" s="26">
        <f>ROUND((AD64+AE64+AC64)*$AF$4,2)</f>
        <v>0</v>
      </c>
      <c r="AG64" s="26">
        <f>ROUND((AD64+AE64+AF64+AC64)*AG$4,2)</f>
        <v>0</v>
      </c>
      <c r="AH64" s="26">
        <f>ROUND((AD64+AE64+AF64+AG64+AC64)*AH$4,2)</f>
        <v>0</v>
      </c>
      <c r="AI64" s="26">
        <f t="shared" si="24"/>
        <v>0</v>
      </c>
      <c r="AJ64" s="26">
        <f t="shared" si="25"/>
        <v>0</v>
      </c>
      <c r="AK64" s="26">
        <f t="shared" si="26"/>
        <v>0</v>
      </c>
      <c r="AL64" s="26">
        <f t="shared" si="27"/>
        <v>0</v>
      </c>
      <c r="AM64" s="24"/>
      <c r="AN64" s="50"/>
      <c r="AO64" s="50"/>
      <c r="AP64" s="9"/>
      <c r="AQ64" s="50"/>
      <c r="AR64" s="50"/>
      <c r="AS64" s="50"/>
    </row>
    <row r="65" s="1" customFormat="1" ht="48" customHeight="1" outlineLevel="2" spans="1:45">
      <c r="A65" s="25">
        <v>6</v>
      </c>
      <c r="B65" s="23" t="s">
        <v>251</v>
      </c>
      <c r="C65" s="23" t="s">
        <v>252</v>
      </c>
      <c r="D65" s="24" t="s">
        <v>253</v>
      </c>
      <c r="E65" s="35"/>
      <c r="F65" s="35"/>
      <c r="G65" s="25" t="s">
        <v>173</v>
      </c>
      <c r="H65" s="26"/>
      <c r="I65" s="26"/>
      <c r="J65" s="26"/>
      <c r="K65" s="26"/>
      <c r="L65" s="26"/>
      <c r="M65" s="26"/>
      <c r="N65" s="26"/>
      <c r="O65" s="26"/>
      <c r="P65" s="26"/>
      <c r="Q65" s="26"/>
      <c r="R65" s="26"/>
      <c r="S65" s="26"/>
      <c r="T65" s="26"/>
      <c r="U65" s="26"/>
      <c r="V65" s="26"/>
      <c r="W65" s="26"/>
      <c r="X65" s="26"/>
      <c r="Y65" s="26"/>
      <c r="Z65" s="26"/>
      <c r="AA65" s="26"/>
      <c r="AB65" s="26">
        <v>2700</v>
      </c>
      <c r="AC65" s="46"/>
      <c r="AD65" s="46"/>
      <c r="AE65" s="46"/>
      <c r="AF65" s="26">
        <f>ROUND((AD65+AE65+AC65)*$AF$4,2)</f>
        <v>0</v>
      </c>
      <c r="AG65" s="26">
        <f>ROUND((AD65+AE65+AF65+AC65)*AG$4,2)</f>
        <v>0</v>
      </c>
      <c r="AH65" s="26">
        <f>ROUND((AD65+AE65+AF65+AG65+AC65)*AH$4,2)</f>
        <v>0</v>
      </c>
      <c r="AI65" s="26">
        <f t="shared" si="24"/>
        <v>0</v>
      </c>
      <c r="AJ65" s="26">
        <f t="shared" si="25"/>
        <v>0</v>
      </c>
      <c r="AK65" s="26">
        <f t="shared" si="26"/>
        <v>0</v>
      </c>
      <c r="AL65" s="26">
        <f t="shared" si="27"/>
        <v>0</v>
      </c>
      <c r="AM65" s="24"/>
      <c r="AN65" s="50"/>
      <c r="AO65" s="50"/>
      <c r="AP65" s="9"/>
      <c r="AQ65" s="50"/>
      <c r="AR65" s="50"/>
      <c r="AS65" s="50"/>
    </row>
    <row r="66" s="1" customFormat="1" ht="30" customHeight="1" outlineLevel="1" spans="1:45">
      <c r="A66" s="13" t="s">
        <v>176</v>
      </c>
      <c r="B66" s="13" t="s">
        <v>177</v>
      </c>
      <c r="C66" s="36" t="s">
        <v>178</v>
      </c>
      <c r="D66" s="36"/>
      <c r="E66" s="36"/>
      <c r="F66" s="36"/>
      <c r="G66" s="13" t="s">
        <v>179</v>
      </c>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f>AK29+AK45+AK59</f>
        <v>0</v>
      </c>
      <c r="AL66" s="16">
        <f>AL29+AL45+AL59</f>
        <v>0</v>
      </c>
      <c r="AM66" s="14"/>
      <c r="AN66" s="50"/>
      <c r="AO66" s="64"/>
      <c r="AP66" s="65"/>
      <c r="AQ66" s="64"/>
      <c r="AR66" s="64"/>
      <c r="AS66" s="64"/>
    </row>
    <row r="67" s="1" customFormat="1" ht="37" customHeight="1" spans="1:45">
      <c r="A67" s="17" t="s">
        <v>254</v>
      </c>
      <c r="B67" s="17"/>
      <c r="C67" s="17"/>
      <c r="D67" s="18"/>
      <c r="E67" s="37"/>
      <c r="F67" s="37"/>
      <c r="G67" s="37"/>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20">
        <f>AK97</f>
        <v>0</v>
      </c>
      <c r="AL67" s="20">
        <f>AL97</f>
        <v>0</v>
      </c>
      <c r="AM67" s="54"/>
      <c r="AN67" s="50"/>
      <c r="AO67" s="60"/>
      <c r="AP67" s="61"/>
      <c r="AQ67" s="60"/>
      <c r="AR67" s="60"/>
      <c r="AS67" s="60"/>
    </row>
    <row r="68" s="1" customFormat="1" ht="30" customHeight="1" outlineLevel="1" spans="1:45">
      <c r="A68" s="21" t="s">
        <v>255</v>
      </c>
      <c r="B68" s="22"/>
      <c r="C68" s="22"/>
      <c r="D68" s="24"/>
      <c r="E68" s="25"/>
      <c r="F68" s="25"/>
      <c r="G68" s="25"/>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16">
        <f>SUM(AK69:AK73)</f>
        <v>0</v>
      </c>
      <c r="AL68" s="16">
        <f>SUM(AL69:AL73)</f>
        <v>0</v>
      </c>
      <c r="AM68" s="25"/>
      <c r="AN68" s="50"/>
      <c r="AO68" s="65"/>
      <c r="AP68" s="65"/>
      <c r="AQ68" s="64"/>
      <c r="AR68" s="64"/>
      <c r="AS68" s="64"/>
    </row>
    <row r="69" s="1" customFormat="1" ht="48" customHeight="1" outlineLevel="2" spans="1:45">
      <c r="A69" s="25">
        <v>1</v>
      </c>
      <c r="B69" s="22" t="s">
        <v>256</v>
      </c>
      <c r="C69" s="39" t="s">
        <v>257</v>
      </c>
      <c r="D69" s="24" t="s">
        <v>258</v>
      </c>
      <c r="E69" s="27"/>
      <c r="F69" s="27"/>
      <c r="G69" s="25" t="s">
        <v>134</v>
      </c>
      <c r="H69" s="26">
        <v>1</v>
      </c>
      <c r="I69" s="26">
        <v>1</v>
      </c>
      <c r="J69" s="26">
        <v>1</v>
      </c>
      <c r="K69" s="26">
        <v>1</v>
      </c>
      <c r="L69" s="26">
        <v>1</v>
      </c>
      <c r="M69" s="26">
        <v>1</v>
      </c>
      <c r="N69" s="26">
        <v>1</v>
      </c>
      <c r="O69" s="26">
        <v>1</v>
      </c>
      <c r="P69" s="26">
        <v>1</v>
      </c>
      <c r="Q69" s="26">
        <v>1</v>
      </c>
      <c r="R69" s="26">
        <v>1</v>
      </c>
      <c r="S69" s="26">
        <v>1</v>
      </c>
      <c r="T69" s="26">
        <v>1</v>
      </c>
      <c r="U69" s="26">
        <v>1</v>
      </c>
      <c r="V69" s="26">
        <v>1</v>
      </c>
      <c r="W69" s="26"/>
      <c r="X69" s="26"/>
      <c r="Y69" s="26"/>
      <c r="Z69" s="26"/>
      <c r="AA69" s="26">
        <v>39</v>
      </c>
      <c r="AB69" s="26">
        <f t="shared" ref="AB69:AB73" si="28">SUM(H69:AA69)</f>
        <v>54</v>
      </c>
      <c r="AC69" s="46"/>
      <c r="AD69" s="46"/>
      <c r="AE69" s="46"/>
      <c r="AF69" s="26">
        <f>ROUND((AD69+AE69+AC69)*$AF$4,2)</f>
        <v>0</v>
      </c>
      <c r="AG69" s="26">
        <f>ROUND((AD69+AE69+AF69+AC69)*AG$4,2)</f>
        <v>0</v>
      </c>
      <c r="AH69" s="26">
        <f>ROUND((AD69+AE69+AF69+AG69+AC69)*AH$4,2)</f>
        <v>0</v>
      </c>
      <c r="AI69" s="26">
        <f t="shared" ref="AI69:AI73" si="29">ROUND((AD69+AE69+AF69+AG69+AC69),2)</f>
        <v>0</v>
      </c>
      <c r="AJ69" s="26">
        <f t="shared" ref="AJ69:AJ73" si="30">ROUND((AD69+AE69+AF69+AG69+AH69+AC69),2)</f>
        <v>0</v>
      </c>
      <c r="AK69" s="26">
        <f t="shared" ref="AK69:AK73" si="31">ROUND((AI69*AB69),2)</f>
        <v>0</v>
      </c>
      <c r="AL69" s="26">
        <f t="shared" ref="AL69:AL73" si="32">ROUND((AJ69*AB69),2)</f>
        <v>0</v>
      </c>
      <c r="AM69" s="25"/>
      <c r="AN69" s="50"/>
      <c r="AO69" s="64"/>
      <c r="AP69" s="65"/>
      <c r="AQ69" s="64"/>
      <c r="AR69" s="64"/>
      <c r="AS69" s="64"/>
    </row>
    <row r="70" s="1" customFormat="1" ht="81" customHeight="1" outlineLevel="2" spans="1:45">
      <c r="A70" s="25">
        <v>2</v>
      </c>
      <c r="B70" s="22" t="s">
        <v>259</v>
      </c>
      <c r="C70" s="39" t="s">
        <v>260</v>
      </c>
      <c r="D70" s="24" t="s">
        <v>258</v>
      </c>
      <c r="E70" s="27"/>
      <c r="F70" s="27"/>
      <c r="G70" s="25" t="s">
        <v>134</v>
      </c>
      <c r="H70" s="26">
        <f>5*(15+12)</f>
        <v>135</v>
      </c>
      <c r="I70" s="26">
        <f>5*(15+15)</f>
        <v>150</v>
      </c>
      <c r="J70" s="26">
        <f>5*(15+13)</f>
        <v>140</v>
      </c>
      <c r="K70" s="26">
        <f>6*26</f>
        <v>156</v>
      </c>
      <c r="L70" s="26">
        <f>6*26</f>
        <v>156</v>
      </c>
      <c r="M70" s="26">
        <f>5*(15+15)+1</f>
        <v>151</v>
      </c>
      <c r="N70" s="26">
        <f>1+1+4+4*(14+12)</f>
        <v>110</v>
      </c>
      <c r="O70" s="26">
        <f>4*(15+13)</f>
        <v>112</v>
      </c>
      <c r="P70" s="26">
        <f>4*(15+11)+1</f>
        <v>105</v>
      </c>
      <c r="Q70" s="26">
        <f>4*(15+16)</f>
        <v>124</v>
      </c>
      <c r="R70" s="26">
        <f>4*26</f>
        <v>104</v>
      </c>
      <c r="S70" s="26">
        <f>4*15</f>
        <v>60</v>
      </c>
      <c r="T70" s="26">
        <f>4*12</f>
        <v>48</v>
      </c>
      <c r="U70" s="26">
        <f>4*(15+12)</f>
        <v>108</v>
      </c>
      <c r="V70" s="26">
        <f>4*(15+15)</f>
        <v>120</v>
      </c>
      <c r="W70" s="26"/>
      <c r="X70" s="26"/>
      <c r="Y70" s="26"/>
      <c r="Z70" s="26"/>
      <c r="AA70" s="26"/>
      <c r="AB70" s="26">
        <f t="shared" si="28"/>
        <v>1779</v>
      </c>
      <c r="AC70" s="46"/>
      <c r="AD70" s="46"/>
      <c r="AE70" s="46"/>
      <c r="AF70" s="26">
        <f>ROUND((AD70+AE70+AC70)*$AF$4,2)</f>
        <v>0</v>
      </c>
      <c r="AG70" s="26">
        <f>ROUND((AD70+AE70+AF70+AC70)*AG$4,2)</f>
        <v>0</v>
      </c>
      <c r="AH70" s="26">
        <f>ROUND((AD70+AE70+AF70+AG70+AC70)*AH$4,2)</f>
        <v>0</v>
      </c>
      <c r="AI70" s="26">
        <f t="shared" si="29"/>
        <v>0</v>
      </c>
      <c r="AJ70" s="26">
        <f t="shared" si="30"/>
        <v>0</v>
      </c>
      <c r="AK70" s="26">
        <f t="shared" si="31"/>
        <v>0</v>
      </c>
      <c r="AL70" s="26">
        <f t="shared" si="32"/>
        <v>0</v>
      </c>
      <c r="AM70" s="25"/>
      <c r="AN70" s="50"/>
      <c r="AO70" s="64"/>
      <c r="AP70" s="65"/>
      <c r="AQ70" s="64"/>
      <c r="AR70" s="64"/>
      <c r="AS70" s="64"/>
    </row>
    <row r="71" s="3" customFormat="1" ht="100" customHeight="1" outlineLevel="2" spans="1:45">
      <c r="A71" s="28">
        <v>3</v>
      </c>
      <c r="B71" s="29" t="s">
        <v>261</v>
      </c>
      <c r="C71" s="68" t="s">
        <v>262</v>
      </c>
      <c r="D71" s="31" t="s">
        <v>258</v>
      </c>
      <c r="E71" s="32"/>
      <c r="F71" s="32"/>
      <c r="G71" s="28" t="s">
        <v>134</v>
      </c>
      <c r="H71" s="33"/>
      <c r="I71" s="33"/>
      <c r="J71" s="33"/>
      <c r="K71" s="33"/>
      <c r="L71" s="33"/>
      <c r="M71" s="33"/>
      <c r="N71" s="33"/>
      <c r="O71" s="33"/>
      <c r="P71" s="33"/>
      <c r="Q71" s="33"/>
      <c r="R71" s="33"/>
      <c r="S71" s="33"/>
      <c r="T71" s="33"/>
      <c r="U71" s="33"/>
      <c r="V71" s="33"/>
      <c r="W71" s="33"/>
      <c r="X71" s="33"/>
      <c r="Y71" s="33"/>
      <c r="Z71" s="33">
        <v>1</v>
      </c>
      <c r="AA71" s="33"/>
      <c r="AB71" s="33">
        <f t="shared" si="28"/>
        <v>1</v>
      </c>
      <c r="AC71" s="47"/>
      <c r="AD71" s="47"/>
      <c r="AE71" s="47"/>
      <c r="AF71" s="33">
        <f>ROUND((AD71+AE71+AC71)*$AF$4,2)</f>
        <v>0</v>
      </c>
      <c r="AG71" s="33">
        <f>ROUND((AD71+AE71+AF71+AC71)*AG$4,2)</f>
        <v>0</v>
      </c>
      <c r="AH71" s="33">
        <f>ROUND((AD71+AE71+AF71+AG71+AC71)*AH$4,2)</f>
        <v>0</v>
      </c>
      <c r="AI71" s="33">
        <f t="shared" si="29"/>
        <v>0</v>
      </c>
      <c r="AJ71" s="33">
        <f t="shared" si="30"/>
        <v>0</v>
      </c>
      <c r="AK71" s="33">
        <f t="shared" si="31"/>
        <v>0</v>
      </c>
      <c r="AL71" s="33">
        <f t="shared" si="32"/>
        <v>0</v>
      </c>
      <c r="AM71" s="28"/>
      <c r="AN71" s="53"/>
      <c r="AO71" s="67"/>
      <c r="AP71" s="77"/>
      <c r="AQ71" s="67"/>
      <c r="AR71" s="67"/>
      <c r="AS71" s="67"/>
    </row>
    <row r="72" s="1" customFormat="1" ht="72" outlineLevel="2" spans="1:45">
      <c r="A72" s="25">
        <v>4</v>
      </c>
      <c r="B72" s="22" t="s">
        <v>263</v>
      </c>
      <c r="C72" s="23" t="s">
        <v>264</v>
      </c>
      <c r="D72" s="24" t="s">
        <v>258</v>
      </c>
      <c r="E72" s="27"/>
      <c r="F72" s="27"/>
      <c r="G72" s="25" t="s">
        <v>191</v>
      </c>
      <c r="H72" s="26">
        <f t="shared" ref="H72:AA72" si="33">H69</f>
        <v>1</v>
      </c>
      <c r="I72" s="26">
        <f t="shared" si="33"/>
        <v>1</v>
      </c>
      <c r="J72" s="26">
        <f t="shared" si="33"/>
        <v>1</v>
      </c>
      <c r="K72" s="26">
        <f t="shared" si="33"/>
        <v>1</v>
      </c>
      <c r="L72" s="26">
        <f t="shared" si="33"/>
        <v>1</v>
      </c>
      <c r="M72" s="26">
        <f t="shared" si="33"/>
        <v>1</v>
      </c>
      <c r="N72" s="26">
        <f t="shared" si="33"/>
        <v>1</v>
      </c>
      <c r="O72" s="26">
        <f t="shared" si="33"/>
        <v>1</v>
      </c>
      <c r="P72" s="26">
        <f t="shared" si="33"/>
        <v>1</v>
      </c>
      <c r="Q72" s="26">
        <f t="shared" si="33"/>
        <v>1</v>
      </c>
      <c r="R72" s="26">
        <f t="shared" si="33"/>
        <v>1</v>
      </c>
      <c r="S72" s="26">
        <f t="shared" si="33"/>
        <v>1</v>
      </c>
      <c r="T72" s="26">
        <f t="shared" si="33"/>
        <v>1</v>
      </c>
      <c r="U72" s="26">
        <f t="shared" si="33"/>
        <v>1</v>
      </c>
      <c r="V72" s="26">
        <f t="shared" si="33"/>
        <v>1</v>
      </c>
      <c r="W72" s="26">
        <f t="shared" si="33"/>
        <v>0</v>
      </c>
      <c r="X72" s="26">
        <f t="shared" si="33"/>
        <v>0</v>
      </c>
      <c r="Y72" s="26">
        <f t="shared" si="33"/>
        <v>0</v>
      </c>
      <c r="Z72" s="26">
        <f t="shared" si="33"/>
        <v>0</v>
      </c>
      <c r="AA72" s="26">
        <f t="shared" si="33"/>
        <v>39</v>
      </c>
      <c r="AB72" s="26">
        <f t="shared" si="28"/>
        <v>54</v>
      </c>
      <c r="AC72" s="46"/>
      <c r="AD72" s="46"/>
      <c r="AE72" s="46"/>
      <c r="AF72" s="26">
        <f>ROUND((AD72+AE72+AC72)*$AF$4,2)</f>
        <v>0</v>
      </c>
      <c r="AG72" s="26">
        <f>ROUND((AD72+AE72+AF72+AC72)*AG$4,2)</f>
        <v>0</v>
      </c>
      <c r="AH72" s="26">
        <f>ROUND((AD72+AE72+AF72+AG72+AC72)*AH$4,2)</f>
        <v>0</v>
      </c>
      <c r="AI72" s="26">
        <f t="shared" si="29"/>
        <v>0</v>
      </c>
      <c r="AJ72" s="26">
        <f t="shared" si="30"/>
        <v>0</v>
      </c>
      <c r="AK72" s="26">
        <f t="shared" si="31"/>
        <v>0</v>
      </c>
      <c r="AL72" s="26">
        <f t="shared" si="32"/>
        <v>0</v>
      </c>
      <c r="AM72" s="25"/>
      <c r="AN72" s="50"/>
      <c r="AO72" s="64"/>
      <c r="AP72" s="65"/>
      <c r="AQ72" s="64"/>
      <c r="AR72" s="64"/>
      <c r="AS72" s="64"/>
    </row>
    <row r="73" s="1" customFormat="1" ht="48" customHeight="1" outlineLevel="2" spans="1:45">
      <c r="A73" s="25">
        <v>5</v>
      </c>
      <c r="B73" s="23" t="s">
        <v>265</v>
      </c>
      <c r="C73" s="23" t="s">
        <v>266</v>
      </c>
      <c r="D73" s="24" t="s">
        <v>258</v>
      </c>
      <c r="E73" s="27"/>
      <c r="F73" s="27"/>
      <c r="G73" s="25" t="s">
        <v>191</v>
      </c>
      <c r="H73" s="26">
        <v>17</v>
      </c>
      <c r="I73" s="26">
        <v>19</v>
      </c>
      <c r="J73" s="26">
        <v>18</v>
      </c>
      <c r="K73" s="26">
        <v>20</v>
      </c>
      <c r="L73" s="26">
        <v>20</v>
      </c>
      <c r="M73" s="26">
        <v>19</v>
      </c>
      <c r="N73" s="26">
        <v>14</v>
      </c>
      <c r="O73" s="26">
        <v>14</v>
      </c>
      <c r="P73" s="26">
        <v>14</v>
      </c>
      <c r="Q73" s="26">
        <v>16</v>
      </c>
      <c r="R73" s="26">
        <v>13</v>
      </c>
      <c r="S73" s="26">
        <v>8</v>
      </c>
      <c r="T73" s="26">
        <v>6</v>
      </c>
      <c r="U73" s="26">
        <v>14</v>
      </c>
      <c r="V73" s="26">
        <v>15</v>
      </c>
      <c r="W73" s="26">
        <f t="shared" ref="W73:AA73" si="34">W70</f>
        <v>0</v>
      </c>
      <c r="X73" s="26">
        <f t="shared" si="34"/>
        <v>0</v>
      </c>
      <c r="Y73" s="26">
        <f t="shared" si="34"/>
        <v>0</v>
      </c>
      <c r="Z73" s="26">
        <f t="shared" si="34"/>
        <v>0</v>
      </c>
      <c r="AA73" s="26">
        <f t="shared" si="34"/>
        <v>0</v>
      </c>
      <c r="AB73" s="26">
        <f t="shared" si="28"/>
        <v>227</v>
      </c>
      <c r="AC73" s="46"/>
      <c r="AD73" s="46"/>
      <c r="AE73" s="46"/>
      <c r="AF73" s="26">
        <f>ROUND((AD73+AE73+AC73)*$AF$4,2)</f>
        <v>0</v>
      </c>
      <c r="AG73" s="26">
        <f>ROUND((AD73+AE73+AF73+AC73)*AG$4,2)</f>
        <v>0</v>
      </c>
      <c r="AH73" s="26">
        <f>ROUND((AD73+AE73+AF73+AG73+AC73)*AH$4,2)</f>
        <v>0</v>
      </c>
      <c r="AI73" s="26">
        <f t="shared" si="29"/>
        <v>0</v>
      </c>
      <c r="AJ73" s="26">
        <f t="shared" si="30"/>
        <v>0</v>
      </c>
      <c r="AK73" s="26">
        <f t="shared" si="31"/>
        <v>0</v>
      </c>
      <c r="AL73" s="26">
        <f t="shared" si="32"/>
        <v>0</v>
      </c>
      <c r="AM73" s="25"/>
      <c r="AN73" s="50"/>
      <c r="AO73" s="64"/>
      <c r="AP73" s="65"/>
      <c r="AQ73" s="64"/>
      <c r="AR73" s="64"/>
      <c r="AS73" s="64"/>
    </row>
    <row r="74" s="1" customFormat="1" ht="30" customHeight="1" outlineLevel="1" spans="1:45">
      <c r="A74" s="21" t="s">
        <v>267</v>
      </c>
      <c r="B74" s="22"/>
      <c r="C74" s="22"/>
      <c r="D74" s="24"/>
      <c r="E74" s="25"/>
      <c r="F74" s="25"/>
      <c r="G74" s="25"/>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16">
        <f>SUM(AK75:AK81)</f>
        <v>0</v>
      </c>
      <c r="AL74" s="16">
        <f>SUM(AL75:AL81)</f>
        <v>0</v>
      </c>
      <c r="AM74" s="25"/>
      <c r="AN74" s="50"/>
      <c r="AO74" s="65"/>
      <c r="AP74" s="65"/>
      <c r="AQ74" s="64"/>
      <c r="AR74" s="64"/>
      <c r="AS74" s="64"/>
    </row>
    <row r="75" s="1" customFormat="1" ht="48" customHeight="1" outlineLevel="2" spans="1:45">
      <c r="A75" s="25">
        <v>1</v>
      </c>
      <c r="B75" s="22" t="s">
        <v>268</v>
      </c>
      <c r="C75" s="22" t="s">
        <v>205</v>
      </c>
      <c r="D75" s="24" t="s">
        <v>168</v>
      </c>
      <c r="E75" s="27"/>
      <c r="F75" s="27"/>
      <c r="G75" s="25" t="s">
        <v>191</v>
      </c>
      <c r="H75" s="26">
        <f t="shared" ref="H75:M75" si="35">H69</f>
        <v>1</v>
      </c>
      <c r="I75" s="26">
        <f t="shared" si="35"/>
        <v>1</v>
      </c>
      <c r="J75" s="26">
        <f t="shared" si="35"/>
        <v>1</v>
      </c>
      <c r="K75" s="26">
        <f t="shared" si="35"/>
        <v>1</v>
      </c>
      <c r="L75" s="26">
        <f t="shared" si="35"/>
        <v>1</v>
      </c>
      <c r="M75" s="26">
        <f t="shared" si="35"/>
        <v>1</v>
      </c>
      <c r="N75" s="26">
        <v>1</v>
      </c>
      <c r="O75" s="26">
        <f t="shared" ref="O75:Z75" si="36">O69</f>
        <v>1</v>
      </c>
      <c r="P75" s="26">
        <f t="shared" si="36"/>
        <v>1</v>
      </c>
      <c r="Q75" s="26">
        <f t="shared" si="36"/>
        <v>1</v>
      </c>
      <c r="R75" s="26">
        <f t="shared" si="36"/>
        <v>1</v>
      </c>
      <c r="S75" s="26">
        <f t="shared" si="36"/>
        <v>1</v>
      </c>
      <c r="T75" s="26">
        <f t="shared" si="36"/>
        <v>1</v>
      </c>
      <c r="U75" s="26">
        <f t="shared" si="36"/>
        <v>1</v>
      </c>
      <c r="V75" s="26">
        <f t="shared" si="36"/>
        <v>1</v>
      </c>
      <c r="W75" s="26">
        <f t="shared" si="36"/>
        <v>0</v>
      </c>
      <c r="X75" s="26">
        <f t="shared" si="36"/>
        <v>0</v>
      </c>
      <c r="Y75" s="26">
        <f t="shared" si="36"/>
        <v>0</v>
      </c>
      <c r="Z75" s="26">
        <f t="shared" si="36"/>
        <v>0</v>
      </c>
      <c r="AA75" s="26">
        <f>39-11-18</f>
        <v>10</v>
      </c>
      <c r="AB75" s="26">
        <f t="shared" ref="AB75:AB80" si="37">SUM(H75:AA75)</f>
        <v>25</v>
      </c>
      <c r="AC75" s="46"/>
      <c r="AD75" s="46"/>
      <c r="AE75" s="46"/>
      <c r="AF75" s="26">
        <f>ROUND((AD75+AE75+AC75)*$AF$4,2)</f>
        <v>0</v>
      </c>
      <c r="AG75" s="26">
        <f>ROUND((AD75+AE75+AF75+AC75)*AG$4,2)</f>
        <v>0</v>
      </c>
      <c r="AH75" s="26">
        <f>ROUND((AD75+AE75+AF75+AG75+AC75)*AH$4,2)</f>
        <v>0</v>
      </c>
      <c r="AI75" s="26">
        <f t="shared" ref="AI75:AI81" si="38">ROUND((AD75+AE75+AF75+AG75+AC75),2)</f>
        <v>0</v>
      </c>
      <c r="AJ75" s="26">
        <f t="shared" ref="AJ75:AJ81" si="39">ROUND((AD75+AE75+AF75+AG75+AH75+AC75),2)</f>
        <v>0</v>
      </c>
      <c r="AK75" s="26">
        <f t="shared" ref="AK75:AK81" si="40">ROUND((AI75*AB75),2)</f>
        <v>0</v>
      </c>
      <c r="AL75" s="26">
        <f t="shared" ref="AL75:AL81" si="41">ROUND((AJ75*AB75),2)</f>
        <v>0</v>
      </c>
      <c r="AM75" s="25"/>
      <c r="AN75" s="50"/>
      <c r="AO75" s="66"/>
      <c r="AP75" s="65"/>
      <c r="AQ75" s="64"/>
      <c r="AR75" s="64"/>
      <c r="AS75" s="64"/>
    </row>
    <row r="76" s="1" customFormat="1" ht="48" customHeight="1" outlineLevel="2" spans="1:45">
      <c r="A76" s="25">
        <v>2</v>
      </c>
      <c r="B76" s="22" t="s">
        <v>269</v>
      </c>
      <c r="C76" s="22" t="s">
        <v>205</v>
      </c>
      <c r="D76" s="24" t="s">
        <v>168</v>
      </c>
      <c r="E76" s="27"/>
      <c r="F76" s="27"/>
      <c r="G76" s="25" t="s">
        <v>191</v>
      </c>
      <c r="H76" s="26">
        <f t="shared" ref="H76:AA76" si="42">H75</f>
        <v>1</v>
      </c>
      <c r="I76" s="26">
        <f t="shared" si="42"/>
        <v>1</v>
      </c>
      <c r="J76" s="26">
        <f t="shared" si="42"/>
        <v>1</v>
      </c>
      <c r="K76" s="26">
        <f t="shared" si="42"/>
        <v>1</v>
      </c>
      <c r="L76" s="26">
        <f t="shared" si="42"/>
        <v>1</v>
      </c>
      <c r="M76" s="26">
        <f t="shared" si="42"/>
        <v>1</v>
      </c>
      <c r="N76" s="26">
        <f t="shared" si="42"/>
        <v>1</v>
      </c>
      <c r="O76" s="26">
        <f t="shared" si="42"/>
        <v>1</v>
      </c>
      <c r="P76" s="26">
        <f t="shared" si="42"/>
        <v>1</v>
      </c>
      <c r="Q76" s="26">
        <f t="shared" si="42"/>
        <v>1</v>
      </c>
      <c r="R76" s="26">
        <f t="shared" si="42"/>
        <v>1</v>
      </c>
      <c r="S76" s="26">
        <f t="shared" si="42"/>
        <v>1</v>
      </c>
      <c r="T76" s="26">
        <f t="shared" si="42"/>
        <v>1</v>
      </c>
      <c r="U76" s="26">
        <f t="shared" si="42"/>
        <v>1</v>
      </c>
      <c r="V76" s="26">
        <f t="shared" si="42"/>
        <v>1</v>
      </c>
      <c r="W76" s="26">
        <f t="shared" si="42"/>
        <v>0</v>
      </c>
      <c r="X76" s="26">
        <f t="shared" si="42"/>
        <v>0</v>
      </c>
      <c r="Y76" s="26">
        <f t="shared" si="42"/>
        <v>0</v>
      </c>
      <c r="Z76" s="26">
        <f t="shared" si="42"/>
        <v>0</v>
      </c>
      <c r="AA76" s="26">
        <f t="shared" si="42"/>
        <v>10</v>
      </c>
      <c r="AB76" s="26">
        <f t="shared" si="37"/>
        <v>25</v>
      </c>
      <c r="AC76" s="46"/>
      <c r="AD76" s="46"/>
      <c r="AE76" s="46"/>
      <c r="AF76" s="26">
        <f>ROUND((AD76+AE76+AC76)*$AF$4,2)</f>
        <v>0</v>
      </c>
      <c r="AG76" s="26">
        <f>ROUND((AD76+AE76+AF76+AC76)*AG$4,2)</f>
        <v>0</v>
      </c>
      <c r="AH76" s="26">
        <f>ROUND((AD76+AE76+AF76+AG76+AC76)*AH$4,2)</f>
        <v>0</v>
      </c>
      <c r="AI76" s="26">
        <f t="shared" si="38"/>
        <v>0</v>
      </c>
      <c r="AJ76" s="26">
        <f t="shared" si="39"/>
        <v>0</v>
      </c>
      <c r="AK76" s="26">
        <f t="shared" si="40"/>
        <v>0</v>
      </c>
      <c r="AL76" s="26">
        <f t="shared" si="41"/>
        <v>0</v>
      </c>
      <c r="AM76" s="25"/>
      <c r="AN76" s="50"/>
      <c r="AO76" s="66"/>
      <c r="AP76" s="65"/>
      <c r="AQ76" s="64"/>
      <c r="AR76" s="64"/>
      <c r="AS76" s="64"/>
    </row>
    <row r="77" s="1" customFormat="1" ht="48" customHeight="1" outlineLevel="2" spans="1:45">
      <c r="A77" s="25">
        <v>3</v>
      </c>
      <c r="B77" s="22" t="s">
        <v>270</v>
      </c>
      <c r="C77" s="22" t="s">
        <v>205</v>
      </c>
      <c r="D77" s="24" t="s">
        <v>168</v>
      </c>
      <c r="E77" s="27"/>
      <c r="F77" s="27"/>
      <c r="G77" s="25" t="s">
        <v>191</v>
      </c>
      <c r="H77" s="26">
        <f t="shared" ref="H77:AA77" si="43">H75</f>
        <v>1</v>
      </c>
      <c r="I77" s="26">
        <f t="shared" si="43"/>
        <v>1</v>
      </c>
      <c r="J77" s="26">
        <f t="shared" si="43"/>
        <v>1</v>
      </c>
      <c r="K77" s="26">
        <f t="shared" si="43"/>
        <v>1</v>
      </c>
      <c r="L77" s="26">
        <f t="shared" si="43"/>
        <v>1</v>
      </c>
      <c r="M77" s="26">
        <f t="shared" si="43"/>
        <v>1</v>
      </c>
      <c r="N77" s="26">
        <f t="shared" si="43"/>
        <v>1</v>
      </c>
      <c r="O77" s="26">
        <f t="shared" si="43"/>
        <v>1</v>
      </c>
      <c r="P77" s="26">
        <f t="shared" si="43"/>
        <v>1</v>
      </c>
      <c r="Q77" s="26">
        <f t="shared" si="43"/>
        <v>1</v>
      </c>
      <c r="R77" s="26">
        <f t="shared" si="43"/>
        <v>1</v>
      </c>
      <c r="S77" s="26">
        <f t="shared" si="43"/>
        <v>1</v>
      </c>
      <c r="T77" s="26">
        <f t="shared" si="43"/>
        <v>1</v>
      </c>
      <c r="U77" s="26">
        <f t="shared" si="43"/>
        <v>1</v>
      </c>
      <c r="V77" s="26">
        <f t="shared" si="43"/>
        <v>1</v>
      </c>
      <c r="W77" s="26">
        <f t="shared" si="43"/>
        <v>0</v>
      </c>
      <c r="X77" s="26">
        <f t="shared" si="43"/>
        <v>0</v>
      </c>
      <c r="Y77" s="26">
        <f t="shared" si="43"/>
        <v>0</v>
      </c>
      <c r="Z77" s="26">
        <f t="shared" si="43"/>
        <v>0</v>
      </c>
      <c r="AA77" s="26">
        <f t="shared" si="43"/>
        <v>10</v>
      </c>
      <c r="AB77" s="26">
        <f t="shared" si="37"/>
        <v>25</v>
      </c>
      <c r="AC77" s="46"/>
      <c r="AD77" s="46"/>
      <c r="AE77" s="46"/>
      <c r="AF77" s="26">
        <f>ROUND((AD77+AE77+AC77)*$AF$4,2)</f>
        <v>0</v>
      </c>
      <c r="AG77" s="26">
        <f>ROUND((AD77+AE77+AF77+AC77)*AG$4,2)</f>
        <v>0</v>
      </c>
      <c r="AH77" s="26">
        <f>ROUND((AD77+AE77+AF77+AG77+AC77)*AH$4,2)</f>
        <v>0</v>
      </c>
      <c r="AI77" s="26">
        <f t="shared" si="38"/>
        <v>0</v>
      </c>
      <c r="AJ77" s="26">
        <f t="shared" si="39"/>
        <v>0</v>
      </c>
      <c r="AK77" s="26">
        <f t="shared" si="40"/>
        <v>0</v>
      </c>
      <c r="AL77" s="26">
        <f t="shared" si="41"/>
        <v>0</v>
      </c>
      <c r="AM77" s="25"/>
      <c r="AN77" s="50"/>
      <c r="AO77" s="64"/>
      <c r="AP77" s="65"/>
      <c r="AQ77" s="64"/>
      <c r="AR77" s="64"/>
      <c r="AS77" s="64"/>
    </row>
    <row r="78" s="1" customFormat="1" ht="48" customHeight="1" outlineLevel="2" spans="1:45">
      <c r="A78" s="25">
        <v>4</v>
      </c>
      <c r="B78" s="22" t="s">
        <v>271</v>
      </c>
      <c r="C78" s="22" t="s">
        <v>272</v>
      </c>
      <c r="D78" s="24" t="s">
        <v>273</v>
      </c>
      <c r="E78" s="27"/>
      <c r="F78" s="27"/>
      <c r="G78" s="25" t="s">
        <v>191</v>
      </c>
      <c r="H78" s="26">
        <f t="shared" ref="H78:W78" si="44">H69</f>
        <v>1</v>
      </c>
      <c r="I78" s="26">
        <f t="shared" si="44"/>
        <v>1</v>
      </c>
      <c r="J78" s="26">
        <f t="shared" si="44"/>
        <v>1</v>
      </c>
      <c r="K78" s="26">
        <f t="shared" si="44"/>
        <v>1</v>
      </c>
      <c r="L78" s="26">
        <f t="shared" si="44"/>
        <v>1</v>
      </c>
      <c r="M78" s="26">
        <f t="shared" si="44"/>
        <v>1</v>
      </c>
      <c r="N78" s="26">
        <f t="shared" si="44"/>
        <v>1</v>
      </c>
      <c r="O78" s="26">
        <f t="shared" si="44"/>
        <v>1</v>
      </c>
      <c r="P78" s="26">
        <f t="shared" si="44"/>
        <v>1</v>
      </c>
      <c r="Q78" s="26">
        <f t="shared" si="44"/>
        <v>1</v>
      </c>
      <c r="R78" s="26">
        <f t="shared" si="44"/>
        <v>1</v>
      </c>
      <c r="S78" s="26">
        <f t="shared" si="44"/>
        <v>1</v>
      </c>
      <c r="T78" s="26">
        <f t="shared" si="44"/>
        <v>1</v>
      </c>
      <c r="U78" s="26">
        <f t="shared" si="44"/>
        <v>1</v>
      </c>
      <c r="V78" s="26">
        <f t="shared" si="44"/>
        <v>1</v>
      </c>
      <c r="W78" s="26">
        <f t="shared" si="44"/>
        <v>0</v>
      </c>
      <c r="X78" s="26">
        <v>1</v>
      </c>
      <c r="Y78" s="26">
        <v>1</v>
      </c>
      <c r="Z78" s="26">
        <f>Z69</f>
        <v>0</v>
      </c>
      <c r="AA78" s="26">
        <f>AA69</f>
        <v>39</v>
      </c>
      <c r="AB78" s="26">
        <f t="shared" si="37"/>
        <v>56</v>
      </c>
      <c r="AC78" s="46"/>
      <c r="AD78" s="46"/>
      <c r="AE78" s="46"/>
      <c r="AF78" s="26">
        <f>ROUND((AD78+AE78+AC78)*$AF$4,2)</f>
        <v>0</v>
      </c>
      <c r="AG78" s="26">
        <f>ROUND((AD78+AE78+AF78+AC78)*AG$4,2)</f>
        <v>0</v>
      </c>
      <c r="AH78" s="26">
        <f>ROUND((AD78+AE78+AF78+AG78+AC78)*AH$4,2)</f>
        <v>0</v>
      </c>
      <c r="AI78" s="26">
        <f t="shared" si="38"/>
        <v>0</v>
      </c>
      <c r="AJ78" s="26">
        <f t="shared" si="39"/>
        <v>0</v>
      </c>
      <c r="AK78" s="26">
        <f t="shared" si="40"/>
        <v>0</v>
      </c>
      <c r="AL78" s="26">
        <f t="shared" si="41"/>
        <v>0</v>
      </c>
      <c r="AM78" s="25"/>
      <c r="AN78" s="50"/>
      <c r="AO78" s="64"/>
      <c r="AP78" s="64"/>
      <c r="AQ78" s="64"/>
      <c r="AR78" s="64"/>
      <c r="AS78" s="64"/>
    </row>
    <row r="79" s="1" customFormat="1" ht="48" customHeight="1" outlineLevel="2" spans="1:45">
      <c r="A79" s="25">
        <v>5</v>
      </c>
      <c r="B79" s="22" t="s">
        <v>274</v>
      </c>
      <c r="C79" s="22" t="s">
        <v>275</v>
      </c>
      <c r="D79" s="24" t="s">
        <v>168</v>
      </c>
      <c r="E79" s="27"/>
      <c r="F79" s="27"/>
      <c r="G79" s="25" t="s">
        <v>191</v>
      </c>
      <c r="H79" s="26">
        <f t="shared" ref="H79:AA79" si="45">H75</f>
        <v>1</v>
      </c>
      <c r="I79" s="26">
        <f t="shared" si="45"/>
        <v>1</v>
      </c>
      <c r="J79" s="26">
        <f t="shared" si="45"/>
        <v>1</v>
      </c>
      <c r="K79" s="26">
        <f t="shared" si="45"/>
        <v>1</v>
      </c>
      <c r="L79" s="26">
        <f t="shared" si="45"/>
        <v>1</v>
      </c>
      <c r="M79" s="26">
        <f t="shared" si="45"/>
        <v>1</v>
      </c>
      <c r="N79" s="26">
        <f t="shared" si="45"/>
        <v>1</v>
      </c>
      <c r="O79" s="26">
        <f t="shared" si="45"/>
        <v>1</v>
      </c>
      <c r="P79" s="26">
        <f t="shared" si="45"/>
        <v>1</v>
      </c>
      <c r="Q79" s="26">
        <f t="shared" si="45"/>
        <v>1</v>
      </c>
      <c r="R79" s="26">
        <f t="shared" si="45"/>
        <v>1</v>
      </c>
      <c r="S79" s="26">
        <f t="shared" si="45"/>
        <v>1</v>
      </c>
      <c r="T79" s="26">
        <f t="shared" si="45"/>
        <v>1</v>
      </c>
      <c r="U79" s="26">
        <f t="shared" si="45"/>
        <v>1</v>
      </c>
      <c r="V79" s="26">
        <f t="shared" si="45"/>
        <v>1</v>
      </c>
      <c r="W79" s="26">
        <f t="shared" si="45"/>
        <v>0</v>
      </c>
      <c r="X79" s="26">
        <f t="shared" si="45"/>
        <v>0</v>
      </c>
      <c r="Y79" s="26">
        <f t="shared" si="45"/>
        <v>0</v>
      </c>
      <c r="Z79" s="26">
        <f t="shared" si="45"/>
        <v>0</v>
      </c>
      <c r="AA79" s="26">
        <f t="shared" si="45"/>
        <v>10</v>
      </c>
      <c r="AB79" s="26">
        <f t="shared" si="37"/>
        <v>25</v>
      </c>
      <c r="AC79" s="46"/>
      <c r="AD79" s="46"/>
      <c r="AE79" s="46"/>
      <c r="AF79" s="26">
        <f>ROUND((AD79+AE79+AC79)*$AF$4,2)</f>
        <v>0</v>
      </c>
      <c r="AG79" s="26">
        <f>ROUND((AD79+AE79+AF79+AC79)*AG$4,2)</f>
        <v>0</v>
      </c>
      <c r="AH79" s="26">
        <f>ROUND((AD79+AE79+AF79+AG79+AC79)*AH$4,2)</f>
        <v>0</v>
      </c>
      <c r="AI79" s="26">
        <f t="shared" si="38"/>
        <v>0</v>
      </c>
      <c r="AJ79" s="26">
        <f t="shared" si="39"/>
        <v>0</v>
      </c>
      <c r="AK79" s="26">
        <f t="shared" si="40"/>
        <v>0</v>
      </c>
      <c r="AL79" s="26">
        <f t="shared" si="41"/>
        <v>0</v>
      </c>
      <c r="AM79" s="25"/>
      <c r="AN79" s="50"/>
      <c r="AO79" s="64"/>
      <c r="AP79" s="64"/>
      <c r="AQ79" s="64"/>
      <c r="AR79" s="64"/>
      <c r="AS79" s="64"/>
    </row>
    <row r="80" s="1" customFormat="1" ht="48" customHeight="1" outlineLevel="2" spans="1:45">
      <c r="A80" s="25">
        <v>6</v>
      </c>
      <c r="B80" s="22" t="s">
        <v>276</v>
      </c>
      <c r="C80" s="23" t="s">
        <v>277</v>
      </c>
      <c r="D80" s="24" t="s">
        <v>168</v>
      </c>
      <c r="E80" s="27"/>
      <c r="F80" s="27"/>
      <c r="G80" s="25" t="s">
        <v>191</v>
      </c>
      <c r="H80" s="26"/>
      <c r="I80" s="26"/>
      <c r="J80" s="26"/>
      <c r="K80" s="26"/>
      <c r="L80" s="26"/>
      <c r="M80" s="26"/>
      <c r="N80" s="26"/>
      <c r="O80" s="26"/>
      <c r="P80" s="26"/>
      <c r="Q80" s="26"/>
      <c r="R80" s="26"/>
      <c r="S80" s="26"/>
      <c r="T80" s="26"/>
      <c r="U80" s="26"/>
      <c r="V80" s="26"/>
      <c r="W80" s="26"/>
      <c r="X80" s="26"/>
      <c r="Y80" s="26"/>
      <c r="Z80" s="26"/>
      <c r="AA80" s="26">
        <f>(11+18)*2</f>
        <v>58</v>
      </c>
      <c r="AB80" s="26">
        <f t="shared" si="37"/>
        <v>58</v>
      </c>
      <c r="AC80" s="46"/>
      <c r="AD80" s="46"/>
      <c r="AE80" s="46"/>
      <c r="AF80" s="26">
        <f>ROUND((AD80+AE80+AC80)*$AF$4,2)</f>
        <v>0</v>
      </c>
      <c r="AG80" s="26">
        <f>ROUND((AD80+AE80+AF80+AC80)*AG$4,2)</f>
        <v>0</v>
      </c>
      <c r="AH80" s="26">
        <f>ROUND((AD80+AE80+AF80+AG80+AC80)*AH$4,2)</f>
        <v>0</v>
      </c>
      <c r="AI80" s="26">
        <f t="shared" si="38"/>
        <v>0</v>
      </c>
      <c r="AJ80" s="26">
        <f t="shared" si="39"/>
        <v>0</v>
      </c>
      <c r="AK80" s="26">
        <f t="shared" si="40"/>
        <v>0</v>
      </c>
      <c r="AL80" s="26">
        <f t="shared" si="41"/>
        <v>0</v>
      </c>
      <c r="AM80" s="25"/>
      <c r="AN80" s="50"/>
      <c r="AO80" s="64"/>
      <c r="AP80" s="64"/>
      <c r="AQ80" s="64"/>
      <c r="AR80" s="64"/>
      <c r="AS80" s="64"/>
    </row>
    <row r="81" s="1" customFormat="1" ht="48" customHeight="1" outlineLevel="2" spans="1:45">
      <c r="A81" s="25">
        <v>7</v>
      </c>
      <c r="B81" s="22" t="s">
        <v>278</v>
      </c>
      <c r="C81" s="22" t="s">
        <v>279</v>
      </c>
      <c r="D81" s="24" t="s">
        <v>168</v>
      </c>
      <c r="E81" s="27"/>
      <c r="F81" s="27"/>
      <c r="G81" s="25" t="s">
        <v>191</v>
      </c>
      <c r="H81" s="26"/>
      <c r="I81" s="26"/>
      <c r="J81" s="26"/>
      <c r="K81" s="26"/>
      <c r="L81" s="26"/>
      <c r="M81" s="26"/>
      <c r="N81" s="26"/>
      <c r="O81" s="26"/>
      <c r="P81" s="26"/>
      <c r="Q81" s="26"/>
      <c r="R81" s="26"/>
      <c r="S81" s="26"/>
      <c r="T81" s="26"/>
      <c r="U81" s="26"/>
      <c r="V81" s="26"/>
      <c r="W81" s="26"/>
      <c r="X81" s="26"/>
      <c r="Y81" s="26"/>
      <c r="Z81" s="26"/>
      <c r="AA81" s="26"/>
      <c r="AB81" s="26">
        <v>6000</v>
      </c>
      <c r="AC81" s="46"/>
      <c r="AD81" s="46"/>
      <c r="AE81" s="46"/>
      <c r="AF81" s="26">
        <f>ROUND((AD81+AE81+AC81)*$AF$4,2)</f>
        <v>0</v>
      </c>
      <c r="AG81" s="26">
        <f>ROUND((AD81+AE81+AF81+AC81)*AG$4,2)</f>
        <v>0</v>
      </c>
      <c r="AH81" s="26">
        <f>ROUND((AD81+AE81+AF81+AG81+AC81)*AH$4,2)</f>
        <v>0</v>
      </c>
      <c r="AI81" s="26">
        <f t="shared" si="38"/>
        <v>0</v>
      </c>
      <c r="AJ81" s="26">
        <f t="shared" si="39"/>
        <v>0</v>
      </c>
      <c r="AK81" s="26">
        <f t="shared" si="40"/>
        <v>0</v>
      </c>
      <c r="AL81" s="26">
        <f t="shared" si="41"/>
        <v>0</v>
      </c>
      <c r="AM81" s="25"/>
      <c r="AN81" s="50"/>
      <c r="AO81" s="64"/>
      <c r="AP81" s="65"/>
      <c r="AQ81" s="64"/>
      <c r="AR81" s="64"/>
      <c r="AS81" s="64"/>
    </row>
    <row r="82" s="1" customFormat="1" ht="30" customHeight="1" outlineLevel="1" spans="1:45">
      <c r="A82" s="21" t="s">
        <v>280</v>
      </c>
      <c r="B82" s="22"/>
      <c r="C82" s="22"/>
      <c r="D82" s="24"/>
      <c r="E82" s="25"/>
      <c r="F82" s="25"/>
      <c r="G82" s="25"/>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16">
        <f>SUM(AK83:AK86)</f>
        <v>0</v>
      </c>
      <c r="AL82" s="16">
        <f>SUM(AL83:AL86)</f>
        <v>0</v>
      </c>
      <c r="AM82" s="25"/>
      <c r="AN82" s="50"/>
      <c r="AO82" s="65"/>
      <c r="AP82" s="65"/>
      <c r="AQ82" s="64"/>
      <c r="AR82" s="64"/>
      <c r="AS82" s="64"/>
    </row>
    <row r="83" s="1" customFormat="1" ht="48" customHeight="1" outlineLevel="2" spans="1:45">
      <c r="A83" s="25">
        <v>1</v>
      </c>
      <c r="B83" s="22" t="s">
        <v>281</v>
      </c>
      <c r="C83" s="23" t="s">
        <v>282</v>
      </c>
      <c r="D83" s="24" t="s">
        <v>258</v>
      </c>
      <c r="E83" s="27"/>
      <c r="F83" s="27"/>
      <c r="G83" s="25" t="s">
        <v>134</v>
      </c>
      <c r="H83" s="26"/>
      <c r="I83" s="26"/>
      <c r="J83" s="26"/>
      <c r="K83" s="26"/>
      <c r="L83" s="26"/>
      <c r="M83" s="26"/>
      <c r="N83" s="26"/>
      <c r="O83" s="26"/>
      <c r="P83" s="26"/>
      <c r="Q83" s="26"/>
      <c r="R83" s="26"/>
      <c r="S83" s="26"/>
      <c r="T83" s="26"/>
      <c r="U83" s="26"/>
      <c r="V83" s="26"/>
      <c r="W83" s="26"/>
      <c r="X83" s="26"/>
      <c r="Y83" s="26"/>
      <c r="Z83" s="26"/>
      <c r="AA83" s="26"/>
      <c r="AB83" s="26">
        <v>1</v>
      </c>
      <c r="AC83" s="46"/>
      <c r="AD83" s="46"/>
      <c r="AE83" s="46"/>
      <c r="AF83" s="26">
        <f>ROUND((AD83+AE83+AC83)*$AF$4,2)</f>
        <v>0</v>
      </c>
      <c r="AG83" s="26">
        <f>ROUND((AD83+AE83+AF83+AC83)*AG$4,2)</f>
        <v>0</v>
      </c>
      <c r="AH83" s="26">
        <f>ROUND((AD83+AE83+AF83+AG83+AC83)*AH$4,2)</f>
        <v>0</v>
      </c>
      <c r="AI83" s="26">
        <f t="shared" ref="AI83:AI86" si="46">ROUND((AD83+AE83+AF83+AG83+AC83),2)</f>
        <v>0</v>
      </c>
      <c r="AJ83" s="26">
        <f t="shared" ref="AJ83:AJ86" si="47">ROUND((AD83+AE83+AF83+AG83+AH83+AC83),2)</f>
        <v>0</v>
      </c>
      <c r="AK83" s="26">
        <f t="shared" ref="AK83:AK86" si="48">ROUND((AI83*AB83),2)</f>
        <v>0</v>
      </c>
      <c r="AL83" s="26">
        <f t="shared" ref="AL83:AL86" si="49">ROUND((AJ83*AB83),2)</f>
        <v>0</v>
      </c>
      <c r="AM83" s="25"/>
      <c r="AN83" s="50"/>
      <c r="AO83" s="64"/>
      <c r="AP83" s="65"/>
      <c r="AQ83" s="64"/>
      <c r="AR83" s="64"/>
      <c r="AS83" s="64"/>
    </row>
    <row r="84" s="1" customFormat="1" ht="48" customHeight="1" outlineLevel="2" spans="1:45">
      <c r="A84" s="25">
        <v>2</v>
      </c>
      <c r="B84" s="22" t="s">
        <v>283</v>
      </c>
      <c r="C84" s="23" t="s">
        <v>222</v>
      </c>
      <c r="D84" s="24" t="s">
        <v>223</v>
      </c>
      <c r="E84" s="27"/>
      <c r="F84" s="27"/>
      <c r="G84" s="25" t="s">
        <v>146</v>
      </c>
      <c r="H84" s="26"/>
      <c r="I84" s="26"/>
      <c r="J84" s="26"/>
      <c r="K84" s="26"/>
      <c r="L84" s="26"/>
      <c r="M84" s="26"/>
      <c r="N84" s="26"/>
      <c r="O84" s="26"/>
      <c r="P84" s="26"/>
      <c r="Q84" s="26"/>
      <c r="R84" s="26"/>
      <c r="S84" s="26"/>
      <c r="T84" s="26"/>
      <c r="U84" s="26"/>
      <c r="V84" s="26"/>
      <c r="W84" s="26"/>
      <c r="X84" s="26"/>
      <c r="Y84" s="26"/>
      <c r="Z84" s="26"/>
      <c r="AA84" s="26"/>
      <c r="AB84" s="26">
        <v>1</v>
      </c>
      <c r="AC84" s="46"/>
      <c r="AD84" s="46"/>
      <c r="AE84" s="46"/>
      <c r="AF84" s="26">
        <f>ROUND((AD84+AE84+AC84)*$AF$4,2)</f>
        <v>0</v>
      </c>
      <c r="AG84" s="26">
        <f>ROUND((AD84+AE84+AF84+AC84)*AG$4,2)</f>
        <v>0</v>
      </c>
      <c r="AH84" s="26">
        <f>ROUND((AD84+AE84+AF84+AG84+AC84)*AH$4,2)</f>
        <v>0</v>
      </c>
      <c r="AI84" s="26">
        <f t="shared" si="46"/>
        <v>0</v>
      </c>
      <c r="AJ84" s="26">
        <f t="shared" si="47"/>
        <v>0</v>
      </c>
      <c r="AK84" s="26">
        <f t="shared" si="48"/>
        <v>0</v>
      </c>
      <c r="AL84" s="26">
        <f t="shared" si="49"/>
        <v>0</v>
      </c>
      <c r="AM84" s="25"/>
      <c r="AN84" s="50"/>
      <c r="AO84" s="64"/>
      <c r="AP84" s="65"/>
      <c r="AQ84" s="64"/>
      <c r="AR84" s="64"/>
      <c r="AS84" s="64"/>
    </row>
    <row r="85" s="3" customFormat="1" ht="60" customHeight="1" outlineLevel="2" spans="1:45">
      <c r="A85" s="28">
        <v>3</v>
      </c>
      <c r="B85" s="29" t="s">
        <v>284</v>
      </c>
      <c r="C85" s="30" t="s">
        <v>285</v>
      </c>
      <c r="D85" s="31" t="s">
        <v>258</v>
      </c>
      <c r="E85" s="32"/>
      <c r="F85" s="32"/>
      <c r="G85" s="28" t="s">
        <v>146</v>
      </c>
      <c r="H85" s="33"/>
      <c r="I85" s="33"/>
      <c r="J85" s="33"/>
      <c r="K85" s="33"/>
      <c r="L85" s="33"/>
      <c r="M85" s="33"/>
      <c r="N85" s="33"/>
      <c r="O85" s="33"/>
      <c r="P85" s="33"/>
      <c r="Q85" s="33"/>
      <c r="R85" s="33"/>
      <c r="S85" s="33"/>
      <c r="T85" s="33"/>
      <c r="U85" s="33"/>
      <c r="V85" s="33"/>
      <c r="W85" s="33"/>
      <c r="X85" s="33"/>
      <c r="Y85" s="33"/>
      <c r="Z85" s="33"/>
      <c r="AA85" s="33"/>
      <c r="AB85" s="33">
        <v>1</v>
      </c>
      <c r="AC85" s="47"/>
      <c r="AD85" s="47"/>
      <c r="AE85" s="47"/>
      <c r="AF85" s="33">
        <f>ROUND((AD85+AE85+AC85)*$AF$4,2)</f>
        <v>0</v>
      </c>
      <c r="AG85" s="33">
        <f>ROUND((AD85+AE85+AF85+AC85)*AG$4,2)</f>
        <v>0</v>
      </c>
      <c r="AH85" s="33">
        <f>ROUND((AD85+AE85+AF85+AG85+AC85)*AH$4,2)</f>
        <v>0</v>
      </c>
      <c r="AI85" s="33">
        <f t="shared" si="46"/>
        <v>0</v>
      </c>
      <c r="AJ85" s="33">
        <f t="shared" si="47"/>
        <v>0</v>
      </c>
      <c r="AK85" s="33">
        <f t="shared" si="48"/>
        <v>0</v>
      </c>
      <c r="AL85" s="33">
        <f t="shared" si="49"/>
        <v>0</v>
      </c>
      <c r="AM85" s="28"/>
      <c r="AN85" s="53"/>
      <c r="AO85" s="67"/>
      <c r="AP85" s="77"/>
      <c r="AQ85" s="67"/>
      <c r="AR85" s="67"/>
      <c r="AS85" s="67"/>
    </row>
    <row r="86" s="1" customFormat="1" ht="48" customHeight="1" outlineLevel="2" spans="1:45">
      <c r="A86" s="25">
        <v>4</v>
      </c>
      <c r="B86" s="22" t="s">
        <v>286</v>
      </c>
      <c r="C86" s="22" t="s">
        <v>287</v>
      </c>
      <c r="D86" s="24" t="s">
        <v>258</v>
      </c>
      <c r="E86" s="27"/>
      <c r="F86" s="27"/>
      <c r="G86" s="25" t="s">
        <v>134</v>
      </c>
      <c r="H86" s="26"/>
      <c r="I86" s="26"/>
      <c r="J86" s="26"/>
      <c r="K86" s="26"/>
      <c r="L86" s="26"/>
      <c r="M86" s="26"/>
      <c r="N86" s="26"/>
      <c r="O86" s="26"/>
      <c r="P86" s="26"/>
      <c r="Q86" s="26"/>
      <c r="R86" s="26"/>
      <c r="S86" s="26"/>
      <c r="T86" s="26"/>
      <c r="U86" s="26"/>
      <c r="V86" s="26"/>
      <c r="W86" s="26"/>
      <c r="X86" s="26"/>
      <c r="Y86" s="26"/>
      <c r="Z86" s="26"/>
      <c r="AA86" s="26"/>
      <c r="AB86" s="26">
        <v>1</v>
      </c>
      <c r="AC86" s="46"/>
      <c r="AD86" s="46"/>
      <c r="AE86" s="46"/>
      <c r="AF86" s="26">
        <f>ROUND((AD86+AE86+AC86)*$AF$4,2)</f>
        <v>0</v>
      </c>
      <c r="AG86" s="26">
        <f>ROUND((AD86+AE86+AF86+AC86)*AG$4,2)</f>
        <v>0</v>
      </c>
      <c r="AH86" s="26">
        <f>ROUND((AD86+AE86+AF86+AG86+AC86)*AH$4,2)</f>
        <v>0</v>
      </c>
      <c r="AI86" s="26">
        <f t="shared" si="46"/>
        <v>0</v>
      </c>
      <c r="AJ86" s="26">
        <f t="shared" si="47"/>
        <v>0</v>
      </c>
      <c r="AK86" s="26">
        <f t="shared" si="48"/>
        <v>0</v>
      </c>
      <c r="AL86" s="26">
        <f t="shared" si="49"/>
        <v>0</v>
      </c>
      <c r="AM86" s="25"/>
      <c r="AN86" s="50"/>
      <c r="AO86" s="64"/>
      <c r="AP86" s="65"/>
      <c r="AQ86" s="64"/>
      <c r="AR86" s="64"/>
      <c r="AS86" s="64"/>
    </row>
    <row r="87" s="1" customFormat="1" ht="30" customHeight="1" outlineLevel="1" spans="1:45">
      <c r="A87" s="21" t="s">
        <v>288</v>
      </c>
      <c r="B87" s="22"/>
      <c r="C87" s="22"/>
      <c r="D87" s="24"/>
      <c r="E87" s="25"/>
      <c r="F87" s="25"/>
      <c r="G87" s="25"/>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16">
        <f>SUM(AK88:AK89)</f>
        <v>0</v>
      </c>
      <c r="AL87" s="16">
        <f>SUM(AL88:AL89)</f>
        <v>0</v>
      </c>
      <c r="AM87" s="25"/>
      <c r="AN87" s="50"/>
      <c r="AO87" s="65"/>
      <c r="AP87" s="65"/>
      <c r="AQ87" s="64"/>
      <c r="AR87" s="64"/>
      <c r="AS87" s="64"/>
    </row>
    <row r="88" s="1" customFormat="1" ht="48" customHeight="1" outlineLevel="2" spans="1:45">
      <c r="A88" s="25">
        <v>1</v>
      </c>
      <c r="B88" s="22" t="s">
        <v>289</v>
      </c>
      <c r="C88" s="23" t="s">
        <v>290</v>
      </c>
      <c r="D88" s="24" t="s">
        <v>258</v>
      </c>
      <c r="E88" s="27"/>
      <c r="F88" s="27"/>
      <c r="G88" s="25" t="s">
        <v>146</v>
      </c>
      <c r="H88" s="26"/>
      <c r="I88" s="26"/>
      <c r="J88" s="26"/>
      <c r="K88" s="26"/>
      <c r="L88" s="26"/>
      <c r="M88" s="26"/>
      <c r="N88" s="26"/>
      <c r="O88" s="26"/>
      <c r="P88" s="26"/>
      <c r="Q88" s="26"/>
      <c r="R88" s="26"/>
      <c r="S88" s="26"/>
      <c r="T88" s="26"/>
      <c r="U88" s="26"/>
      <c r="V88" s="26"/>
      <c r="W88" s="26"/>
      <c r="X88" s="26"/>
      <c r="Y88" s="26"/>
      <c r="Z88" s="26"/>
      <c r="AA88" s="26"/>
      <c r="AB88" s="26">
        <v>1</v>
      </c>
      <c r="AC88" s="46"/>
      <c r="AD88" s="46"/>
      <c r="AE88" s="46"/>
      <c r="AF88" s="26">
        <f>ROUND((AD88+AE88+AC88)*$AF$4,2)</f>
        <v>0</v>
      </c>
      <c r="AG88" s="26">
        <f>ROUND((AD88+AE88+AF88+AC88)*AG$4,2)</f>
        <v>0</v>
      </c>
      <c r="AH88" s="26">
        <f>ROUND((AD88+AE88+AF88+AG88+AC88)*AH$4,2)</f>
        <v>0</v>
      </c>
      <c r="AI88" s="26">
        <f t="shared" ref="AI88:AI96" si="50">ROUND((AD88+AE88+AF88+AG88+AC88),2)</f>
        <v>0</v>
      </c>
      <c r="AJ88" s="26">
        <f t="shared" ref="AJ88:AJ96" si="51">ROUND((AD88+AE88+AF88+AG88+AH88+AC88),2)</f>
        <v>0</v>
      </c>
      <c r="AK88" s="26">
        <f t="shared" ref="AK88:AK96" si="52">ROUND((AI88*AB88),2)</f>
        <v>0</v>
      </c>
      <c r="AL88" s="26">
        <f t="shared" ref="AL88:AL96" si="53">ROUND((AJ88*AB88),2)</f>
        <v>0</v>
      </c>
      <c r="AM88" s="25"/>
      <c r="AN88" s="50"/>
      <c r="AO88" s="64"/>
      <c r="AP88" s="64"/>
      <c r="AQ88" s="64"/>
      <c r="AR88" s="64"/>
      <c r="AS88" s="64"/>
    </row>
    <row r="89" s="1" customFormat="1" ht="48" customHeight="1" outlineLevel="2" spans="1:45">
      <c r="A89" s="25">
        <v>2</v>
      </c>
      <c r="B89" s="23" t="s">
        <v>239</v>
      </c>
      <c r="C89" s="23" t="s">
        <v>291</v>
      </c>
      <c r="D89" s="24" t="s">
        <v>258</v>
      </c>
      <c r="E89" s="27"/>
      <c r="F89" s="27"/>
      <c r="G89" s="25" t="s">
        <v>146</v>
      </c>
      <c r="H89" s="26"/>
      <c r="I89" s="26"/>
      <c r="J89" s="26"/>
      <c r="K89" s="26"/>
      <c r="L89" s="26"/>
      <c r="M89" s="26"/>
      <c r="N89" s="26"/>
      <c r="O89" s="26"/>
      <c r="P89" s="26"/>
      <c r="Q89" s="26"/>
      <c r="R89" s="26"/>
      <c r="S89" s="26"/>
      <c r="T89" s="26"/>
      <c r="U89" s="26"/>
      <c r="V89" s="26"/>
      <c r="W89" s="26"/>
      <c r="X89" s="26"/>
      <c r="Y89" s="26"/>
      <c r="Z89" s="26"/>
      <c r="AA89" s="26"/>
      <c r="AB89" s="26">
        <v>1</v>
      </c>
      <c r="AC89" s="46"/>
      <c r="AD89" s="46"/>
      <c r="AE89" s="46"/>
      <c r="AF89" s="26">
        <f>ROUND((AD89+AE89+AC89)*$AF$4,2)</f>
        <v>0</v>
      </c>
      <c r="AG89" s="26">
        <f>ROUND((AD89+AE89+AF89+AC89)*AG$4,2)</f>
        <v>0</v>
      </c>
      <c r="AH89" s="26">
        <f>ROUND((AD89+AE89+AF89+AG89+AC89)*AH$4,2)</f>
        <v>0</v>
      </c>
      <c r="AI89" s="26">
        <f t="shared" si="50"/>
        <v>0</v>
      </c>
      <c r="AJ89" s="26">
        <f t="shared" si="51"/>
        <v>0</v>
      </c>
      <c r="AK89" s="26">
        <f t="shared" si="52"/>
        <v>0</v>
      </c>
      <c r="AL89" s="26">
        <f t="shared" si="53"/>
        <v>0</v>
      </c>
      <c r="AM89" s="75"/>
      <c r="AN89" s="50"/>
      <c r="AO89" s="64"/>
      <c r="AP89" s="65"/>
      <c r="AQ89" s="64"/>
      <c r="AR89" s="64"/>
      <c r="AS89" s="64"/>
    </row>
    <row r="90" s="1" customFormat="1" ht="30" customHeight="1" outlineLevel="1" spans="1:45">
      <c r="A90" s="21" t="s">
        <v>292</v>
      </c>
      <c r="B90" s="22"/>
      <c r="C90" s="22"/>
      <c r="D90" s="24"/>
      <c r="E90" s="25"/>
      <c r="F90" s="25"/>
      <c r="G90" s="25"/>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16">
        <f>SUM(AK91:AK96)</f>
        <v>0</v>
      </c>
      <c r="AL90" s="16">
        <f>SUM(AL91:AL96)</f>
        <v>0</v>
      </c>
      <c r="AM90" s="25"/>
      <c r="AN90" s="50"/>
      <c r="AO90" s="65"/>
      <c r="AP90" s="65"/>
      <c r="AQ90" s="64"/>
      <c r="AR90" s="64"/>
      <c r="AS90" s="64"/>
    </row>
    <row r="91" s="1" customFormat="1" ht="48" customHeight="1" outlineLevel="2" spans="1:45">
      <c r="A91" s="25">
        <v>1</v>
      </c>
      <c r="B91" s="22" t="s">
        <v>171</v>
      </c>
      <c r="C91" s="22" t="s">
        <v>242</v>
      </c>
      <c r="D91" s="24" t="s">
        <v>162</v>
      </c>
      <c r="E91" s="35"/>
      <c r="F91" s="35"/>
      <c r="G91" s="25" t="s">
        <v>173</v>
      </c>
      <c r="H91" s="26">
        <v>3177.497</v>
      </c>
      <c r="I91" s="26">
        <v>3361.432</v>
      </c>
      <c r="J91" s="26">
        <v>3320.829</v>
      </c>
      <c r="K91" s="26">
        <v>2820.677</v>
      </c>
      <c r="L91" s="26">
        <f t="shared" ref="L91:L93" si="54">K91</f>
        <v>2820.677</v>
      </c>
      <c r="M91" s="26">
        <v>3385.538</v>
      </c>
      <c r="N91" s="26">
        <v>2003.796</v>
      </c>
      <c r="O91" s="26">
        <v>2060.548</v>
      </c>
      <c r="P91" s="26">
        <v>1921.691</v>
      </c>
      <c r="Q91" s="26">
        <v>2299.775</v>
      </c>
      <c r="R91" s="26">
        <v>1868.718</v>
      </c>
      <c r="S91" s="26">
        <v>1131.016</v>
      </c>
      <c r="T91" s="26">
        <v>927.774</v>
      </c>
      <c r="U91" s="26">
        <v>1972.728</v>
      </c>
      <c r="V91" s="26">
        <v>2204.346</v>
      </c>
      <c r="W91" s="26"/>
      <c r="X91" s="26"/>
      <c r="Y91" s="26"/>
      <c r="Z91" s="26"/>
      <c r="AA91" s="26">
        <v>718.521</v>
      </c>
      <c r="AB91" s="26">
        <v>24800</v>
      </c>
      <c r="AC91" s="46"/>
      <c r="AD91" s="46"/>
      <c r="AE91" s="46"/>
      <c r="AF91" s="26">
        <f>ROUND((AD91+AE91+AC91)*$AF$4,2)</f>
        <v>0</v>
      </c>
      <c r="AG91" s="26">
        <f>ROUND((AD91+AE91+AF91+AC91)*AG$4,2)</f>
        <v>0</v>
      </c>
      <c r="AH91" s="26">
        <f>ROUND((AD91+AE91+AF91+AG91+AC91)*AH$4,2)</f>
        <v>0</v>
      </c>
      <c r="AI91" s="26">
        <f t="shared" si="50"/>
        <v>0</v>
      </c>
      <c r="AJ91" s="26">
        <f t="shared" si="51"/>
        <v>0</v>
      </c>
      <c r="AK91" s="26">
        <f t="shared" si="52"/>
        <v>0</v>
      </c>
      <c r="AL91" s="26">
        <f t="shared" si="53"/>
        <v>0</v>
      </c>
      <c r="AM91" s="25"/>
      <c r="AN91" s="50"/>
      <c r="AO91" s="64"/>
      <c r="AP91" s="65"/>
      <c r="AQ91" s="64"/>
      <c r="AR91" s="64"/>
      <c r="AS91" s="64"/>
    </row>
    <row r="92" s="1" customFormat="1" ht="48" customHeight="1" outlineLevel="2" spans="1:45">
      <c r="A92" s="25">
        <v>2</v>
      </c>
      <c r="B92" s="22" t="s">
        <v>293</v>
      </c>
      <c r="C92" s="22" t="s">
        <v>294</v>
      </c>
      <c r="D92" s="24" t="s">
        <v>162</v>
      </c>
      <c r="E92" s="35"/>
      <c r="F92" s="35"/>
      <c r="G92" s="25" t="s">
        <v>173</v>
      </c>
      <c r="H92" s="26">
        <f>19.02+3143.953</f>
        <v>3162.973</v>
      </c>
      <c r="I92" s="26">
        <f>18.701+3327.45</f>
        <v>3346.151</v>
      </c>
      <c r="J92" s="26">
        <f>17.222+3281.252</f>
        <v>3298.474</v>
      </c>
      <c r="K92" s="26">
        <f>11.906+2769.979</f>
        <v>2781.885</v>
      </c>
      <c r="L92" s="26">
        <f t="shared" si="54"/>
        <v>2781.885</v>
      </c>
      <c r="M92" s="26">
        <f>16.368+3349.73</f>
        <v>3366.098</v>
      </c>
      <c r="N92" s="26">
        <f>13.6+1965.958</f>
        <v>1979.558</v>
      </c>
      <c r="O92" s="26">
        <f>17.92+2006.928</f>
        <v>2024.848</v>
      </c>
      <c r="P92" s="26">
        <f>15.875+1886.842</f>
        <v>1902.717</v>
      </c>
      <c r="Q92" s="26">
        <f>14.123+2262.04</f>
        <v>2276.163</v>
      </c>
      <c r="R92" s="26">
        <f>14.124+1824.474</f>
        <v>1838.598</v>
      </c>
      <c r="S92" s="26">
        <f>18.179+1096.312</f>
        <v>1114.491</v>
      </c>
      <c r="T92" s="26">
        <f>18.186+891.263</f>
        <v>909.449</v>
      </c>
      <c r="U92" s="26">
        <f>17.175+1945.527</f>
        <v>1962.702</v>
      </c>
      <c r="V92" s="26">
        <f>15.09+2179.398</f>
        <v>2194.488</v>
      </c>
      <c r="W92" s="26"/>
      <c r="X92" s="26"/>
      <c r="Y92" s="26"/>
      <c r="Z92" s="26"/>
      <c r="AA92" s="26">
        <v>553.609</v>
      </c>
      <c r="AB92" s="26">
        <v>24800</v>
      </c>
      <c r="AC92" s="46"/>
      <c r="AD92" s="46"/>
      <c r="AE92" s="46"/>
      <c r="AF92" s="26">
        <f>ROUND((AD92+AE92+AC92)*$AF$4,2)</f>
        <v>0</v>
      </c>
      <c r="AG92" s="26">
        <f>ROUND((AD92+AE92+AF92+AC92)*AG$4,2)</f>
        <v>0</v>
      </c>
      <c r="AH92" s="26">
        <f>ROUND((AD92+AE92+AF92+AG92+AC92)*AH$4,2)</f>
        <v>0</v>
      </c>
      <c r="AI92" s="26">
        <f t="shared" si="50"/>
        <v>0</v>
      </c>
      <c r="AJ92" s="26">
        <f t="shared" si="51"/>
        <v>0</v>
      </c>
      <c r="AK92" s="26">
        <f t="shared" si="52"/>
        <v>0</v>
      </c>
      <c r="AL92" s="26">
        <f t="shared" si="53"/>
        <v>0</v>
      </c>
      <c r="AM92" s="25"/>
      <c r="AN92" s="50"/>
      <c r="AO92" s="50"/>
      <c r="AP92" s="9"/>
      <c r="AQ92" s="50"/>
      <c r="AR92" s="50"/>
      <c r="AS92" s="50"/>
    </row>
    <row r="93" s="1" customFormat="1" ht="48" customHeight="1" outlineLevel="2" spans="1:45">
      <c r="A93" s="25">
        <v>3</v>
      </c>
      <c r="B93" s="22" t="s">
        <v>293</v>
      </c>
      <c r="C93" s="22" t="s">
        <v>295</v>
      </c>
      <c r="D93" s="24" t="s">
        <v>162</v>
      </c>
      <c r="E93" s="35"/>
      <c r="F93" s="35"/>
      <c r="G93" s="25" t="s">
        <v>173</v>
      </c>
      <c r="H93" s="26">
        <v>33.543</v>
      </c>
      <c r="I93" s="26">
        <v>33.981</v>
      </c>
      <c r="J93" s="26">
        <v>39.578</v>
      </c>
      <c r="K93" s="26">
        <v>50.698</v>
      </c>
      <c r="L93" s="26">
        <f t="shared" si="54"/>
        <v>50.698</v>
      </c>
      <c r="M93" s="26">
        <v>35.809</v>
      </c>
      <c r="N93" s="26">
        <v>37.837</v>
      </c>
      <c r="O93" s="26">
        <v>53.62</v>
      </c>
      <c r="P93" s="26">
        <v>34.85</v>
      </c>
      <c r="Q93" s="26">
        <v>37.735</v>
      </c>
      <c r="R93" s="26">
        <v>44.244</v>
      </c>
      <c r="S93" s="26">
        <v>34.704</v>
      </c>
      <c r="T93" s="26">
        <v>36.511</v>
      </c>
      <c r="U93" s="26">
        <v>27.201</v>
      </c>
      <c r="V93" s="26">
        <v>24.948</v>
      </c>
      <c r="W93" s="26"/>
      <c r="X93" s="26"/>
      <c r="Y93" s="26"/>
      <c r="Z93" s="26"/>
      <c r="AA93" s="26">
        <v>718.521</v>
      </c>
      <c r="AB93" s="26">
        <f>SUM(H93:AA93)</f>
        <v>1294.478</v>
      </c>
      <c r="AC93" s="46"/>
      <c r="AD93" s="46"/>
      <c r="AE93" s="46"/>
      <c r="AF93" s="26">
        <f>ROUND((AD93+AE93+AC93)*$AF$4,2)</f>
        <v>0</v>
      </c>
      <c r="AG93" s="26">
        <f>ROUND((AD93+AE93+AF93+AC93)*AG$4,2)</f>
        <v>0</v>
      </c>
      <c r="AH93" s="26">
        <f>ROUND((AD93+AE93+AF93+AG93+AC93)*AH$4,2)</f>
        <v>0</v>
      </c>
      <c r="AI93" s="26">
        <f t="shared" si="50"/>
        <v>0</v>
      </c>
      <c r="AJ93" s="26">
        <f t="shared" si="51"/>
        <v>0</v>
      </c>
      <c r="AK93" s="26">
        <f t="shared" si="52"/>
        <v>0</v>
      </c>
      <c r="AL93" s="26">
        <f t="shared" si="53"/>
        <v>0</v>
      </c>
      <c r="AM93" s="25"/>
      <c r="AN93" s="50"/>
      <c r="AO93" s="50"/>
      <c r="AP93" s="9"/>
      <c r="AQ93" s="50"/>
      <c r="AR93" s="50"/>
      <c r="AS93" s="50"/>
    </row>
    <row r="94" s="1" customFormat="1" ht="48" customHeight="1" outlineLevel="2" spans="1:45">
      <c r="A94" s="25">
        <v>4</v>
      </c>
      <c r="B94" s="22" t="s">
        <v>293</v>
      </c>
      <c r="C94" s="22" t="s">
        <v>296</v>
      </c>
      <c r="D94" s="24" t="s">
        <v>162</v>
      </c>
      <c r="E94" s="35"/>
      <c r="F94" s="35"/>
      <c r="G94" s="25" t="s">
        <v>173</v>
      </c>
      <c r="H94" s="26"/>
      <c r="I94" s="26"/>
      <c r="J94" s="26"/>
      <c r="K94" s="26"/>
      <c r="L94" s="26"/>
      <c r="M94" s="26"/>
      <c r="N94" s="26"/>
      <c r="O94" s="26"/>
      <c r="P94" s="26"/>
      <c r="Q94" s="26"/>
      <c r="R94" s="26"/>
      <c r="S94" s="26"/>
      <c r="T94" s="26"/>
      <c r="U94" s="26"/>
      <c r="V94" s="26"/>
      <c r="W94" s="26"/>
      <c r="X94" s="26"/>
      <c r="Y94" s="26"/>
      <c r="Z94" s="26"/>
      <c r="AA94" s="26"/>
      <c r="AB94" s="26">
        <v>1000</v>
      </c>
      <c r="AC94" s="46"/>
      <c r="AD94" s="46"/>
      <c r="AE94" s="46"/>
      <c r="AF94" s="26">
        <f>ROUND((AD94+AE94+AC94)*$AF$4,2)</f>
        <v>0</v>
      </c>
      <c r="AG94" s="26">
        <f>ROUND((AD94+AE94+AF94+AC94)*AG$4,2)</f>
        <v>0</v>
      </c>
      <c r="AH94" s="26">
        <f>ROUND((AD94+AE94+AF94+AG94+AC94)*AH$4,2)</f>
        <v>0</v>
      </c>
      <c r="AI94" s="26">
        <f t="shared" si="50"/>
        <v>0</v>
      </c>
      <c r="AJ94" s="26">
        <f t="shared" si="51"/>
        <v>0</v>
      </c>
      <c r="AK94" s="26">
        <f t="shared" si="52"/>
        <v>0</v>
      </c>
      <c r="AL94" s="26">
        <f t="shared" si="53"/>
        <v>0</v>
      </c>
      <c r="AM94" s="25"/>
      <c r="AN94" s="50"/>
      <c r="AO94" s="50"/>
      <c r="AP94" s="65"/>
      <c r="AQ94" s="64"/>
      <c r="AR94" s="64"/>
      <c r="AS94" s="64"/>
    </row>
    <row r="95" s="1" customFormat="1" ht="48" customHeight="1" outlineLevel="2" spans="1:45">
      <c r="A95" s="25">
        <v>5</v>
      </c>
      <c r="B95" s="23" t="s">
        <v>297</v>
      </c>
      <c r="C95" s="22" t="s">
        <v>298</v>
      </c>
      <c r="D95" s="24" t="s">
        <v>162</v>
      </c>
      <c r="E95" s="27"/>
      <c r="F95" s="27"/>
      <c r="G95" s="25" t="s">
        <v>173</v>
      </c>
      <c r="H95" s="26"/>
      <c r="I95" s="26"/>
      <c r="J95" s="26"/>
      <c r="K95" s="26"/>
      <c r="L95" s="26"/>
      <c r="M95" s="26"/>
      <c r="N95" s="26"/>
      <c r="O95" s="26"/>
      <c r="P95" s="26"/>
      <c r="Q95" s="26"/>
      <c r="R95" s="26"/>
      <c r="S95" s="26"/>
      <c r="T95" s="26"/>
      <c r="U95" s="26"/>
      <c r="V95" s="26"/>
      <c r="W95" s="26"/>
      <c r="X95" s="26"/>
      <c r="Y95" s="26"/>
      <c r="Z95" s="26"/>
      <c r="AA95" s="26"/>
      <c r="AB95" s="26">
        <v>5500</v>
      </c>
      <c r="AC95" s="46"/>
      <c r="AD95" s="46"/>
      <c r="AE95" s="46"/>
      <c r="AF95" s="26">
        <f>ROUND((AD95+AE95+AC95)*$AF$4,2)</f>
        <v>0</v>
      </c>
      <c r="AG95" s="26">
        <f>ROUND((AD95+AE95+AF95+AC95)*AG$4,2)</f>
        <v>0</v>
      </c>
      <c r="AH95" s="26">
        <f>ROUND((AD95+AE95+AF95+AG95+AC95)*AH$4,2)</f>
        <v>0</v>
      </c>
      <c r="AI95" s="26">
        <f t="shared" si="50"/>
        <v>0</v>
      </c>
      <c r="AJ95" s="26">
        <f t="shared" si="51"/>
        <v>0</v>
      </c>
      <c r="AK95" s="26">
        <f t="shared" si="52"/>
        <v>0</v>
      </c>
      <c r="AL95" s="26">
        <f t="shared" si="53"/>
        <v>0</v>
      </c>
      <c r="AM95" s="24"/>
      <c r="AN95" s="52"/>
      <c r="AO95" s="50"/>
      <c r="AP95" s="61"/>
      <c r="AQ95" s="60"/>
      <c r="AR95" s="60"/>
      <c r="AS95" s="60"/>
    </row>
    <row r="96" s="1" customFormat="1" ht="48" customHeight="1" outlineLevel="2" spans="1:45">
      <c r="A96" s="25">
        <v>6</v>
      </c>
      <c r="B96" s="23" t="s">
        <v>251</v>
      </c>
      <c r="C96" s="23" t="s">
        <v>252</v>
      </c>
      <c r="D96" s="24" t="s">
        <v>253</v>
      </c>
      <c r="E96" s="35"/>
      <c r="F96" s="35"/>
      <c r="G96" s="25" t="s">
        <v>173</v>
      </c>
      <c r="H96" s="26"/>
      <c r="I96" s="26"/>
      <c r="J96" s="26"/>
      <c r="K96" s="26"/>
      <c r="L96" s="26"/>
      <c r="M96" s="26"/>
      <c r="N96" s="26"/>
      <c r="O96" s="26"/>
      <c r="P96" s="26"/>
      <c r="Q96" s="26"/>
      <c r="R96" s="26"/>
      <c r="S96" s="26"/>
      <c r="T96" s="26"/>
      <c r="U96" s="26"/>
      <c r="V96" s="26"/>
      <c r="W96" s="26"/>
      <c r="X96" s="26"/>
      <c r="Y96" s="26"/>
      <c r="Z96" s="26"/>
      <c r="AA96" s="26"/>
      <c r="AB96" s="26">
        <v>2000</v>
      </c>
      <c r="AC96" s="46"/>
      <c r="AD96" s="46"/>
      <c r="AE96" s="46"/>
      <c r="AF96" s="26">
        <f>ROUND((AD96+AE96+AC96)*$AF$4,2)</f>
        <v>0</v>
      </c>
      <c r="AG96" s="26">
        <f>ROUND((AD96+AE96+AF96+AC96)*AG$4,2)</f>
        <v>0</v>
      </c>
      <c r="AH96" s="26">
        <f>ROUND((AD96+AE96+AF96+AG96+AC96)*AH$4,2)</f>
        <v>0</v>
      </c>
      <c r="AI96" s="26">
        <f t="shared" si="50"/>
        <v>0</v>
      </c>
      <c r="AJ96" s="26">
        <f t="shared" si="51"/>
        <v>0</v>
      </c>
      <c r="AK96" s="26">
        <f t="shared" si="52"/>
        <v>0</v>
      </c>
      <c r="AL96" s="26">
        <f t="shared" si="53"/>
        <v>0</v>
      </c>
      <c r="AM96" s="24"/>
      <c r="AN96" s="50"/>
      <c r="AO96" s="50"/>
      <c r="AP96" s="9"/>
      <c r="AQ96" s="50"/>
      <c r="AR96" s="50"/>
      <c r="AS96" s="50"/>
    </row>
    <row r="97" s="1" customFormat="1" ht="30" customHeight="1" outlineLevel="1" spans="1:45">
      <c r="A97" s="13" t="s">
        <v>176</v>
      </c>
      <c r="B97" s="13" t="s">
        <v>177</v>
      </c>
      <c r="C97" s="21" t="s">
        <v>299</v>
      </c>
      <c r="D97" s="36"/>
      <c r="E97" s="36"/>
      <c r="F97" s="36"/>
      <c r="G97" s="13" t="s">
        <v>179</v>
      </c>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f>AK68+AK74+AK82+AK87+AK90</f>
        <v>0</v>
      </c>
      <c r="AL97" s="16">
        <f>AL68+AL74+AL82+AL87+AL90</f>
        <v>0</v>
      </c>
      <c r="AM97" s="14"/>
      <c r="AN97" s="50"/>
      <c r="AO97" s="65"/>
      <c r="AP97" s="65"/>
      <c r="AQ97" s="64"/>
      <c r="AR97" s="64"/>
      <c r="AS97" s="64"/>
    </row>
    <row r="98" s="1" customFormat="1" ht="37" customHeight="1" spans="1:45">
      <c r="A98" s="17" t="s">
        <v>300</v>
      </c>
      <c r="B98" s="17"/>
      <c r="C98" s="17"/>
      <c r="D98" s="18"/>
      <c r="E98" s="37"/>
      <c r="F98" s="37"/>
      <c r="G98" s="37"/>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20">
        <f>AK102</f>
        <v>0</v>
      </c>
      <c r="AL98" s="20">
        <f>AL102</f>
        <v>0</v>
      </c>
      <c r="AM98" s="54"/>
      <c r="AN98" s="50"/>
      <c r="AO98" s="60"/>
      <c r="AP98" s="61"/>
      <c r="AQ98" s="60"/>
      <c r="AR98" s="60"/>
      <c r="AS98" s="60"/>
    </row>
    <row r="99" s="1" customFormat="1" ht="30" customHeight="1" outlineLevel="1" spans="1:45">
      <c r="A99" s="21" t="s">
        <v>301</v>
      </c>
      <c r="B99" s="69"/>
      <c r="C99" s="13"/>
      <c r="D99" s="14"/>
      <c r="E99" s="13"/>
      <c r="F99" s="13"/>
      <c r="G99" s="13"/>
      <c r="H99" s="16"/>
      <c r="I99" s="16"/>
      <c r="J99" s="16"/>
      <c r="K99" s="16"/>
      <c r="L99" s="16"/>
      <c r="M99" s="16"/>
      <c r="N99" s="16"/>
      <c r="O99" s="16"/>
      <c r="P99" s="16"/>
      <c r="Q99" s="16"/>
      <c r="R99" s="16"/>
      <c r="S99" s="16"/>
      <c r="T99" s="16"/>
      <c r="U99" s="16"/>
      <c r="V99" s="16"/>
      <c r="W99" s="16"/>
      <c r="X99" s="16"/>
      <c r="Y99" s="16"/>
      <c r="Z99" s="16"/>
      <c r="AA99" s="16"/>
      <c r="AB99" s="16"/>
      <c r="AC99" s="73"/>
      <c r="AD99" s="73"/>
      <c r="AE99" s="73"/>
      <c r="AF99" s="73"/>
      <c r="AG99" s="73"/>
      <c r="AH99" s="73"/>
      <c r="AI99" s="73"/>
      <c r="AJ99" s="73"/>
      <c r="AK99" s="16">
        <f>SUM(AK100:AK101)</f>
        <v>0</v>
      </c>
      <c r="AL99" s="16">
        <f>SUM(AL100:AL101)</f>
        <v>0</v>
      </c>
      <c r="AM99" s="14"/>
      <c r="AN99" s="50"/>
      <c r="AO99" s="50"/>
      <c r="AP99" s="64"/>
      <c r="AQ99" s="64"/>
      <c r="AR99" s="64"/>
      <c r="AS99" s="64"/>
    </row>
    <row r="100" s="1" customFormat="1" ht="48" customHeight="1" outlineLevel="2" spans="1:45">
      <c r="A100" s="25">
        <v>1</v>
      </c>
      <c r="B100" s="22" t="s">
        <v>302</v>
      </c>
      <c r="C100" s="22" t="s">
        <v>303</v>
      </c>
      <c r="D100" s="24" t="s">
        <v>162</v>
      </c>
      <c r="E100" s="35"/>
      <c r="F100" s="35"/>
      <c r="G100" s="25" t="s">
        <v>173</v>
      </c>
      <c r="H100" s="26">
        <v>200.233</v>
      </c>
      <c r="I100" s="26">
        <v>216.018</v>
      </c>
      <c r="J100" s="26">
        <v>203.513</v>
      </c>
      <c r="K100" s="26">
        <v>172.402</v>
      </c>
      <c r="L100" s="26">
        <f>K100</f>
        <v>172.402</v>
      </c>
      <c r="M100" s="26">
        <v>218.068</v>
      </c>
      <c r="N100" s="26">
        <v>192.906</v>
      </c>
      <c r="O100" s="26">
        <v>200.368</v>
      </c>
      <c r="P100" s="26">
        <v>187.658</v>
      </c>
      <c r="Q100" s="26">
        <v>210.741</v>
      </c>
      <c r="R100" s="26">
        <v>173.636</v>
      </c>
      <c r="S100" s="26">
        <v>111.296</v>
      </c>
      <c r="T100" s="26">
        <v>92.026</v>
      </c>
      <c r="U100" s="26">
        <v>198.318</v>
      </c>
      <c r="V100" s="26">
        <v>215.128</v>
      </c>
      <c r="W100" s="26"/>
      <c r="X100" s="26"/>
      <c r="Y100" s="26"/>
      <c r="Z100" s="26">
        <v>3000</v>
      </c>
      <c r="AA100" s="26"/>
      <c r="AB100" s="26">
        <f>SUM(H100:AA100)</f>
        <v>5764.713</v>
      </c>
      <c r="AC100" s="46"/>
      <c r="AD100" s="46"/>
      <c r="AE100" s="46"/>
      <c r="AF100" s="26">
        <f>ROUND((AD100+AE100+AC100)*$AF$4,2)</f>
        <v>0</v>
      </c>
      <c r="AG100" s="26">
        <f>ROUND((AD100+AE100+AF100+AC100)*AG$4,2)</f>
        <v>0</v>
      </c>
      <c r="AH100" s="26">
        <f>ROUND((AD100+AE100+AF100+AG100+AC100)*AH$4,2)</f>
        <v>0</v>
      </c>
      <c r="AI100" s="26">
        <f t="shared" ref="AI100:AI108" si="55">ROUND((AD100+AE100+AF100+AG100+AC100),2)</f>
        <v>0</v>
      </c>
      <c r="AJ100" s="26">
        <f t="shared" ref="AJ100:AJ108" si="56">ROUND((AD100+AE100+AF100+AG100+AH100+AC100),2)</f>
        <v>0</v>
      </c>
      <c r="AK100" s="26">
        <f t="shared" ref="AK100:AK108" si="57">ROUND((AI100*AB100),2)</f>
        <v>0</v>
      </c>
      <c r="AL100" s="26">
        <f t="shared" ref="AL100:AL108" si="58">ROUND((AJ100*AB100),2)</f>
        <v>0</v>
      </c>
      <c r="AM100" s="24"/>
      <c r="AN100" s="50"/>
      <c r="AO100" s="50"/>
      <c r="AP100" s="64"/>
      <c r="AQ100" s="64"/>
      <c r="AR100" s="64"/>
      <c r="AS100" s="64"/>
    </row>
    <row r="101" s="1" customFormat="1" ht="48" customHeight="1" outlineLevel="2" spans="1:45">
      <c r="A101" s="25">
        <v>2</v>
      </c>
      <c r="B101" s="23" t="s">
        <v>304</v>
      </c>
      <c r="C101" s="23" t="s">
        <v>252</v>
      </c>
      <c r="D101" s="24" t="s">
        <v>253</v>
      </c>
      <c r="E101" s="35"/>
      <c r="F101" s="35"/>
      <c r="G101" s="25" t="s">
        <v>173</v>
      </c>
      <c r="H101" s="26"/>
      <c r="I101" s="26"/>
      <c r="J101" s="26"/>
      <c r="K101" s="26"/>
      <c r="L101" s="26"/>
      <c r="M101" s="26"/>
      <c r="N101" s="26"/>
      <c r="O101" s="26"/>
      <c r="P101" s="26"/>
      <c r="Q101" s="26"/>
      <c r="R101" s="26"/>
      <c r="S101" s="26"/>
      <c r="T101" s="26"/>
      <c r="U101" s="26"/>
      <c r="V101" s="26"/>
      <c r="W101" s="26"/>
      <c r="X101" s="26"/>
      <c r="Y101" s="26"/>
      <c r="Z101" s="26"/>
      <c r="AA101" s="26"/>
      <c r="AB101" s="26">
        <v>1200</v>
      </c>
      <c r="AC101" s="46"/>
      <c r="AD101" s="46"/>
      <c r="AE101" s="46"/>
      <c r="AF101" s="26">
        <f>ROUND((AD101+AE101+AC101)*$AF$4,2)</f>
        <v>0</v>
      </c>
      <c r="AG101" s="26">
        <f>ROUND((AD101+AE101+AF101+AC101)*AG$4,2)</f>
        <v>0</v>
      </c>
      <c r="AH101" s="26">
        <f>ROUND((AD101+AE101+AF101+AG101+AC101)*AH$4,2)</f>
        <v>0</v>
      </c>
      <c r="AI101" s="26">
        <f t="shared" si="55"/>
        <v>0</v>
      </c>
      <c r="AJ101" s="26">
        <f t="shared" si="56"/>
        <v>0</v>
      </c>
      <c r="AK101" s="26">
        <f t="shared" si="57"/>
        <v>0</v>
      </c>
      <c r="AL101" s="26">
        <f t="shared" si="58"/>
        <v>0</v>
      </c>
      <c r="AM101" s="24"/>
      <c r="AN101" s="50"/>
      <c r="AO101" s="50"/>
      <c r="AP101" s="9"/>
      <c r="AQ101" s="50"/>
      <c r="AR101" s="50"/>
      <c r="AS101" s="50"/>
    </row>
    <row r="102" s="1" customFormat="1" ht="30" customHeight="1" outlineLevel="1" spans="1:45">
      <c r="A102" s="13" t="s">
        <v>176</v>
      </c>
      <c r="B102" s="13" t="s">
        <v>177</v>
      </c>
      <c r="C102" s="36" t="s">
        <v>305</v>
      </c>
      <c r="D102" s="36"/>
      <c r="E102" s="36"/>
      <c r="F102" s="36"/>
      <c r="G102" s="13" t="s">
        <v>179</v>
      </c>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f>AK99</f>
        <v>0</v>
      </c>
      <c r="AL102" s="16">
        <f>AL99</f>
        <v>0</v>
      </c>
      <c r="AM102" s="14"/>
      <c r="AN102" s="50"/>
      <c r="AO102" s="50"/>
      <c r="AP102" s="64"/>
      <c r="AQ102" s="64"/>
      <c r="AR102" s="64"/>
      <c r="AS102" s="64"/>
    </row>
    <row r="103" s="1" customFormat="1" ht="37" customHeight="1" spans="1:45">
      <c r="A103" s="17" t="s">
        <v>306</v>
      </c>
      <c r="B103" s="17"/>
      <c r="C103" s="17"/>
      <c r="D103" s="18"/>
      <c r="E103" s="37"/>
      <c r="F103" s="37"/>
      <c r="G103" s="37"/>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20">
        <f>AK109</f>
        <v>0</v>
      </c>
      <c r="AL103" s="20">
        <f>AL109</f>
        <v>0</v>
      </c>
      <c r="AM103" s="54"/>
      <c r="AN103" s="50"/>
      <c r="AO103" s="60"/>
      <c r="AP103" s="61"/>
      <c r="AQ103" s="60"/>
      <c r="AR103" s="60"/>
      <c r="AS103" s="60"/>
    </row>
    <row r="104" s="1" customFormat="1" ht="30" customHeight="1" outlineLevel="1" spans="1:45">
      <c r="A104" s="21" t="s">
        <v>307</v>
      </c>
      <c r="B104" s="13"/>
      <c r="C104" s="14"/>
      <c r="D104" s="14"/>
      <c r="E104" s="13"/>
      <c r="F104" s="13"/>
      <c r="G104" s="13"/>
      <c r="H104" s="16"/>
      <c r="I104" s="16"/>
      <c r="J104" s="16"/>
      <c r="K104" s="16"/>
      <c r="L104" s="16"/>
      <c r="M104" s="16"/>
      <c r="N104" s="16"/>
      <c r="O104" s="16"/>
      <c r="P104" s="16"/>
      <c r="Q104" s="16"/>
      <c r="R104" s="16"/>
      <c r="S104" s="16"/>
      <c r="T104" s="16"/>
      <c r="U104" s="16"/>
      <c r="V104" s="16"/>
      <c r="W104" s="16"/>
      <c r="X104" s="16"/>
      <c r="Y104" s="16"/>
      <c r="Z104" s="16"/>
      <c r="AA104" s="16"/>
      <c r="AB104" s="16"/>
      <c r="AC104" s="73"/>
      <c r="AD104" s="73"/>
      <c r="AE104" s="73"/>
      <c r="AF104" s="73"/>
      <c r="AG104" s="73"/>
      <c r="AH104" s="73"/>
      <c r="AI104" s="73"/>
      <c r="AJ104" s="73"/>
      <c r="AK104" s="73">
        <f>SUM(AK105:AK108)</f>
        <v>0</v>
      </c>
      <c r="AL104" s="73">
        <f>SUM(AL105:AL108)</f>
        <v>0</v>
      </c>
      <c r="AM104" s="13"/>
      <c r="AN104" s="50"/>
      <c r="AO104" s="64"/>
      <c r="AP104" s="64"/>
      <c r="AQ104" s="64"/>
      <c r="AR104" s="64"/>
      <c r="AS104" s="64"/>
    </row>
    <row r="105" s="1" customFormat="1" ht="120" outlineLevel="2" spans="1:45">
      <c r="A105" s="25">
        <v>1</v>
      </c>
      <c r="B105" s="22" t="s">
        <v>308</v>
      </c>
      <c r="C105" s="23" t="s">
        <v>309</v>
      </c>
      <c r="D105" s="24" t="s">
        <v>310</v>
      </c>
      <c r="E105" s="27"/>
      <c r="F105" s="27"/>
      <c r="G105" s="25" t="s">
        <v>191</v>
      </c>
      <c r="H105" s="26">
        <v>3</v>
      </c>
      <c r="I105" s="26">
        <v>3</v>
      </c>
      <c r="J105" s="26">
        <v>3</v>
      </c>
      <c r="K105" s="26">
        <v>3</v>
      </c>
      <c r="L105" s="26">
        <v>3</v>
      </c>
      <c r="M105" s="26">
        <v>3</v>
      </c>
      <c r="N105" s="26">
        <v>3</v>
      </c>
      <c r="O105" s="26">
        <v>3</v>
      </c>
      <c r="P105" s="26">
        <v>3</v>
      </c>
      <c r="Q105" s="26">
        <v>3</v>
      </c>
      <c r="R105" s="26">
        <v>3</v>
      </c>
      <c r="S105" s="26">
        <v>3</v>
      </c>
      <c r="T105" s="26">
        <v>3</v>
      </c>
      <c r="U105" s="26">
        <v>3</v>
      </c>
      <c r="V105" s="26">
        <v>3</v>
      </c>
      <c r="W105" s="26">
        <v>3</v>
      </c>
      <c r="X105" s="26"/>
      <c r="Y105" s="26"/>
      <c r="Z105" s="26"/>
      <c r="AA105" s="26">
        <v>32</v>
      </c>
      <c r="AB105" s="26">
        <f>SUM(H105:AA105)</f>
        <v>80</v>
      </c>
      <c r="AC105" s="46"/>
      <c r="AD105" s="46"/>
      <c r="AE105" s="46"/>
      <c r="AF105" s="26">
        <f>ROUND((AD105+AE105+AC105)*$AF$4,2)</f>
        <v>0</v>
      </c>
      <c r="AG105" s="26">
        <f>ROUND((AD105+AE105+AF105+AC105)*AG$4,2)</f>
        <v>0</v>
      </c>
      <c r="AH105" s="26">
        <f>ROUND((AD105+AE105+AF105+AG105+AC105)*AH$4,2)</f>
        <v>0</v>
      </c>
      <c r="AI105" s="26">
        <f t="shared" si="55"/>
        <v>0</v>
      </c>
      <c r="AJ105" s="26">
        <f t="shared" si="56"/>
        <v>0</v>
      </c>
      <c r="AK105" s="26">
        <f t="shared" si="57"/>
        <v>0</v>
      </c>
      <c r="AL105" s="26">
        <f t="shared" si="58"/>
        <v>0</v>
      </c>
      <c r="AM105" s="25"/>
      <c r="AN105" s="50"/>
      <c r="AO105" s="50"/>
      <c r="AP105" s="64"/>
      <c r="AQ105" s="64"/>
      <c r="AR105" s="64"/>
      <c r="AS105" s="64"/>
    </row>
    <row r="106" s="1" customFormat="1" ht="48" outlineLevel="2" spans="1:45">
      <c r="A106" s="25">
        <v>2</v>
      </c>
      <c r="B106" s="23" t="s">
        <v>311</v>
      </c>
      <c r="C106" s="23" t="s">
        <v>312</v>
      </c>
      <c r="D106" s="24" t="s">
        <v>310</v>
      </c>
      <c r="E106" s="27"/>
      <c r="F106" s="27"/>
      <c r="G106" s="25" t="s">
        <v>191</v>
      </c>
      <c r="H106" s="26"/>
      <c r="I106" s="26"/>
      <c r="J106" s="26"/>
      <c r="K106" s="26"/>
      <c r="L106" s="26"/>
      <c r="M106" s="26"/>
      <c r="N106" s="26"/>
      <c r="O106" s="26"/>
      <c r="P106" s="26"/>
      <c r="Q106" s="26"/>
      <c r="R106" s="26"/>
      <c r="S106" s="26"/>
      <c r="T106" s="26"/>
      <c r="U106" s="26"/>
      <c r="V106" s="26"/>
      <c r="W106" s="26"/>
      <c r="X106" s="26"/>
      <c r="Y106" s="26"/>
      <c r="Z106" s="26"/>
      <c r="AA106" s="26"/>
      <c r="AB106" s="26">
        <v>2</v>
      </c>
      <c r="AC106" s="46"/>
      <c r="AD106" s="46"/>
      <c r="AE106" s="46"/>
      <c r="AF106" s="26">
        <f>ROUND((AD106+AE106+AC106)*$AF$4,2)</f>
        <v>0</v>
      </c>
      <c r="AG106" s="26">
        <f>ROUND((AD106+AE106+AF106+AC106)*AG$4,2)</f>
        <v>0</v>
      </c>
      <c r="AH106" s="26">
        <f>ROUND((AD106+AE106+AF106+AG106+AC106)*AH$4,2)</f>
        <v>0</v>
      </c>
      <c r="AI106" s="26">
        <f t="shared" si="55"/>
        <v>0</v>
      </c>
      <c r="AJ106" s="26">
        <f t="shared" si="56"/>
        <v>0</v>
      </c>
      <c r="AK106" s="26">
        <f t="shared" si="57"/>
        <v>0</v>
      </c>
      <c r="AL106" s="26">
        <f t="shared" si="58"/>
        <v>0</v>
      </c>
      <c r="AM106" s="25"/>
      <c r="AN106" s="50"/>
      <c r="AO106" s="50"/>
      <c r="AP106" s="52"/>
      <c r="AQ106" s="52"/>
      <c r="AR106" s="52"/>
      <c r="AS106" s="52"/>
    </row>
    <row r="107" s="1" customFormat="1" ht="48" customHeight="1" outlineLevel="2" spans="1:45">
      <c r="A107" s="25">
        <v>3</v>
      </c>
      <c r="B107" s="22" t="s">
        <v>289</v>
      </c>
      <c r="C107" s="23" t="s">
        <v>313</v>
      </c>
      <c r="D107" s="24" t="s">
        <v>310</v>
      </c>
      <c r="E107" s="27"/>
      <c r="F107" s="27"/>
      <c r="G107" s="25" t="s">
        <v>146</v>
      </c>
      <c r="H107" s="26"/>
      <c r="I107" s="26"/>
      <c r="J107" s="26"/>
      <c r="K107" s="26"/>
      <c r="L107" s="26"/>
      <c r="M107" s="26"/>
      <c r="N107" s="26"/>
      <c r="O107" s="26"/>
      <c r="P107" s="26"/>
      <c r="Q107" s="26"/>
      <c r="R107" s="26"/>
      <c r="S107" s="26"/>
      <c r="T107" s="26"/>
      <c r="U107" s="26"/>
      <c r="V107" s="26"/>
      <c r="W107" s="26"/>
      <c r="X107" s="26"/>
      <c r="Y107" s="26"/>
      <c r="Z107" s="26"/>
      <c r="AA107" s="26"/>
      <c r="AB107" s="26">
        <v>1</v>
      </c>
      <c r="AC107" s="46"/>
      <c r="AD107" s="46"/>
      <c r="AE107" s="46"/>
      <c r="AF107" s="26">
        <f>ROUND((AD107+AE107+AC107)*$AF$4,2)</f>
        <v>0</v>
      </c>
      <c r="AG107" s="26">
        <f>ROUND((AD107+AE107+AF107+AC107)*AG$4,2)</f>
        <v>0</v>
      </c>
      <c r="AH107" s="26">
        <f>ROUND((AD107+AE107+AF107+AG107+AC107)*AH$4,2)</f>
        <v>0</v>
      </c>
      <c r="AI107" s="26">
        <f t="shared" si="55"/>
        <v>0</v>
      </c>
      <c r="AJ107" s="26">
        <f t="shared" si="56"/>
        <v>0</v>
      </c>
      <c r="AK107" s="26">
        <f t="shared" si="57"/>
        <v>0</v>
      </c>
      <c r="AL107" s="26">
        <f t="shared" si="58"/>
        <v>0</v>
      </c>
      <c r="AM107" s="25"/>
      <c r="AN107" s="50"/>
      <c r="AO107" s="64"/>
      <c r="AP107" s="64"/>
      <c r="AQ107" s="64"/>
      <c r="AR107" s="64"/>
      <c r="AS107" s="64"/>
    </row>
    <row r="108" s="1" customFormat="1" ht="48" customHeight="1" outlineLevel="2" spans="1:45">
      <c r="A108" s="25">
        <v>4</v>
      </c>
      <c r="B108" s="22" t="s">
        <v>314</v>
      </c>
      <c r="C108" s="23" t="s">
        <v>315</v>
      </c>
      <c r="D108" s="24" t="s">
        <v>310</v>
      </c>
      <c r="E108" s="27"/>
      <c r="F108" s="27"/>
      <c r="G108" s="25" t="s">
        <v>146</v>
      </c>
      <c r="H108" s="26"/>
      <c r="I108" s="26"/>
      <c r="J108" s="26"/>
      <c r="K108" s="26"/>
      <c r="L108" s="26"/>
      <c r="M108" s="26"/>
      <c r="N108" s="26"/>
      <c r="O108" s="26"/>
      <c r="P108" s="26"/>
      <c r="Q108" s="26"/>
      <c r="R108" s="26"/>
      <c r="S108" s="26"/>
      <c r="T108" s="26"/>
      <c r="U108" s="26"/>
      <c r="V108" s="26"/>
      <c r="W108" s="26"/>
      <c r="X108" s="26"/>
      <c r="Y108" s="26"/>
      <c r="Z108" s="26"/>
      <c r="AA108" s="26"/>
      <c r="AB108" s="26">
        <v>1</v>
      </c>
      <c r="AC108" s="46"/>
      <c r="AD108" s="46"/>
      <c r="AE108" s="46"/>
      <c r="AF108" s="26">
        <f>ROUND((AD108+AE108+AC108)*$AF$4,2)</f>
        <v>0</v>
      </c>
      <c r="AG108" s="26">
        <f>ROUND((AD108+AE108+AF108+AC108)*AG$4,2)</f>
        <v>0</v>
      </c>
      <c r="AH108" s="26">
        <f>ROUND((AD108+AE108+AF108+AG108+AC108)*AH$4,2)</f>
        <v>0</v>
      </c>
      <c r="AI108" s="26">
        <f t="shared" si="55"/>
        <v>0</v>
      </c>
      <c r="AJ108" s="26">
        <f t="shared" si="56"/>
        <v>0</v>
      </c>
      <c r="AK108" s="26">
        <f t="shared" si="57"/>
        <v>0</v>
      </c>
      <c r="AL108" s="26">
        <f t="shared" si="58"/>
        <v>0</v>
      </c>
      <c r="AM108" s="25"/>
      <c r="AN108" s="50"/>
      <c r="AO108" s="64"/>
      <c r="AP108" s="65"/>
      <c r="AQ108" s="64"/>
      <c r="AR108" s="64"/>
      <c r="AS108" s="64"/>
    </row>
    <row r="109" s="1" customFormat="1" ht="30" customHeight="1" outlineLevel="1" spans="1:45">
      <c r="A109" s="13" t="s">
        <v>176</v>
      </c>
      <c r="B109" s="13" t="s">
        <v>177</v>
      </c>
      <c r="C109" s="36" t="s">
        <v>305</v>
      </c>
      <c r="D109" s="36"/>
      <c r="E109" s="36"/>
      <c r="F109" s="36"/>
      <c r="G109" s="13" t="s">
        <v>179</v>
      </c>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f>AK104</f>
        <v>0</v>
      </c>
      <c r="AL109" s="16">
        <f>AL104</f>
        <v>0</v>
      </c>
      <c r="AM109" s="14"/>
      <c r="AN109" s="50"/>
      <c r="AO109" s="64"/>
      <c r="AP109" s="64"/>
      <c r="AQ109" s="64"/>
      <c r="AR109" s="64"/>
      <c r="AS109" s="64"/>
    </row>
    <row r="110" s="1" customFormat="1" ht="37" customHeight="1" spans="1:45">
      <c r="A110" s="17" t="s">
        <v>316</v>
      </c>
      <c r="B110" s="17"/>
      <c r="C110" s="17"/>
      <c r="D110" s="18"/>
      <c r="E110" s="37"/>
      <c r="F110" s="37"/>
      <c r="G110" s="37"/>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20">
        <f>AK131</f>
        <v>0</v>
      </c>
      <c r="AL110" s="20">
        <f>AL131</f>
        <v>0</v>
      </c>
      <c r="AM110" s="54"/>
      <c r="AN110" s="50"/>
      <c r="AO110" s="60"/>
      <c r="AP110" s="61"/>
      <c r="AQ110" s="60"/>
      <c r="AR110" s="60"/>
      <c r="AS110" s="60"/>
    </row>
    <row r="111" s="1" customFormat="1" ht="30" customHeight="1" outlineLevel="1" spans="1:45">
      <c r="A111" s="21" t="s">
        <v>317</v>
      </c>
      <c r="B111" s="22"/>
      <c r="C111" s="22"/>
      <c r="D111" s="24"/>
      <c r="E111" s="25"/>
      <c r="F111" s="25"/>
      <c r="G111" s="25"/>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16">
        <f>SUM(AK112:AK124)</f>
        <v>0</v>
      </c>
      <c r="AL111" s="16">
        <f>SUM(AL112:AL124)</f>
        <v>0</v>
      </c>
      <c r="AM111" s="24"/>
      <c r="AN111" s="50"/>
      <c r="AO111" s="64"/>
      <c r="AP111" s="65"/>
      <c r="AQ111" s="64"/>
      <c r="AR111" s="64"/>
      <c r="AS111" s="64"/>
    </row>
    <row r="112" s="1" customFormat="1" ht="48" customHeight="1" outlineLevel="2" spans="1:45">
      <c r="A112" s="25">
        <v>1</v>
      </c>
      <c r="B112" s="22" t="s">
        <v>318</v>
      </c>
      <c r="C112" s="22" t="s">
        <v>319</v>
      </c>
      <c r="D112" s="24" t="s">
        <v>320</v>
      </c>
      <c r="E112" s="27"/>
      <c r="F112" s="27"/>
      <c r="G112" s="25" t="s">
        <v>134</v>
      </c>
      <c r="H112" s="26"/>
      <c r="I112" s="26"/>
      <c r="J112" s="26"/>
      <c r="K112" s="26"/>
      <c r="L112" s="26"/>
      <c r="M112" s="26"/>
      <c r="N112" s="26"/>
      <c r="O112" s="26"/>
      <c r="P112" s="26"/>
      <c r="Q112" s="26"/>
      <c r="R112" s="26"/>
      <c r="S112" s="26"/>
      <c r="T112" s="26"/>
      <c r="U112" s="26"/>
      <c r="V112" s="26"/>
      <c r="W112" s="26"/>
      <c r="X112" s="26"/>
      <c r="Y112" s="26"/>
      <c r="Z112" s="26">
        <v>18</v>
      </c>
      <c r="AA112" s="26"/>
      <c r="AB112" s="26">
        <f t="shared" ref="AB112:AB123" si="59">SUM(H112:AA112)</f>
        <v>18</v>
      </c>
      <c r="AC112" s="46"/>
      <c r="AD112" s="46"/>
      <c r="AE112" s="46"/>
      <c r="AF112" s="26">
        <f>ROUND((AD112+AE112+AC112)*$AF$4,2)</f>
        <v>0</v>
      </c>
      <c r="AG112" s="26">
        <f>ROUND((AD112+AE112+AF112+AC112)*AG$4,2)</f>
        <v>0</v>
      </c>
      <c r="AH112" s="26">
        <f>ROUND((AD112+AE112+AF112+AG112+AC112)*AH$4,2)</f>
        <v>0</v>
      </c>
      <c r="AI112" s="26">
        <f t="shared" ref="AI112:AI124" si="60">ROUND((AD112+AE112+AF112+AG112+AC112),2)</f>
        <v>0</v>
      </c>
      <c r="AJ112" s="26">
        <f t="shared" ref="AJ112:AJ124" si="61">ROUND((AD112+AE112+AF112+AG112+AH112+AC112),2)</f>
        <v>0</v>
      </c>
      <c r="AK112" s="26">
        <f t="shared" ref="AK112:AK124" si="62">ROUND((AI112*AB112),2)</f>
        <v>0</v>
      </c>
      <c r="AL112" s="26">
        <f t="shared" ref="AL112:AL124" si="63">ROUND((AJ112*AB112),2)</f>
        <v>0</v>
      </c>
      <c r="AM112" s="24"/>
      <c r="AN112" s="50"/>
      <c r="AO112" s="64"/>
      <c r="AP112" s="65"/>
      <c r="AQ112" s="64"/>
      <c r="AR112" s="64"/>
      <c r="AS112" s="64"/>
    </row>
    <row r="113" s="1" customFormat="1" ht="240" outlineLevel="2" spans="1:45">
      <c r="A113" s="25">
        <v>2</v>
      </c>
      <c r="B113" s="22" t="s">
        <v>321</v>
      </c>
      <c r="C113" s="23" t="s">
        <v>322</v>
      </c>
      <c r="D113" s="24" t="s">
        <v>320</v>
      </c>
      <c r="E113" s="27"/>
      <c r="F113" s="27"/>
      <c r="G113" s="25" t="s">
        <v>134</v>
      </c>
      <c r="H113" s="26"/>
      <c r="I113" s="26">
        <v>1</v>
      </c>
      <c r="J113" s="26"/>
      <c r="K113" s="26"/>
      <c r="L113" s="26"/>
      <c r="M113" s="26"/>
      <c r="N113" s="26"/>
      <c r="O113" s="26"/>
      <c r="P113" s="26"/>
      <c r="Q113" s="26"/>
      <c r="R113" s="26"/>
      <c r="S113" s="26"/>
      <c r="T113" s="26"/>
      <c r="U113" s="26"/>
      <c r="V113" s="26"/>
      <c r="W113" s="26"/>
      <c r="X113" s="26"/>
      <c r="Y113" s="26"/>
      <c r="Z113" s="26"/>
      <c r="AA113" s="26"/>
      <c r="AB113" s="26">
        <f t="shared" si="59"/>
        <v>1</v>
      </c>
      <c r="AC113" s="46"/>
      <c r="AD113" s="46"/>
      <c r="AE113" s="46"/>
      <c r="AF113" s="26">
        <f>ROUND((AD113+AE113+AC113)*$AF$4,2)</f>
        <v>0</v>
      </c>
      <c r="AG113" s="26">
        <f>ROUND((AD113+AE113+AF113+AC113)*AG$4,2)</f>
        <v>0</v>
      </c>
      <c r="AH113" s="26">
        <f>ROUND((AD113+AE113+AF113+AG113+AC113)*AH$4,2)</f>
        <v>0</v>
      </c>
      <c r="AI113" s="26">
        <f t="shared" si="60"/>
        <v>0</v>
      </c>
      <c r="AJ113" s="26">
        <f t="shared" si="61"/>
        <v>0</v>
      </c>
      <c r="AK113" s="26">
        <f t="shared" si="62"/>
        <v>0</v>
      </c>
      <c r="AL113" s="26">
        <f t="shared" si="63"/>
        <v>0</v>
      </c>
      <c r="AM113" s="24"/>
      <c r="AN113" s="50"/>
      <c r="AO113" s="64"/>
      <c r="AP113" s="65"/>
      <c r="AQ113" s="64"/>
      <c r="AR113" s="64"/>
      <c r="AS113" s="64"/>
    </row>
    <row r="114" s="1" customFormat="1" ht="48" outlineLevel="2" spans="1:45">
      <c r="A114" s="25">
        <v>3</v>
      </c>
      <c r="B114" s="22" t="s">
        <v>323</v>
      </c>
      <c r="C114" s="23" t="s">
        <v>324</v>
      </c>
      <c r="D114" s="24" t="s">
        <v>320</v>
      </c>
      <c r="E114" s="27"/>
      <c r="F114" s="27"/>
      <c r="G114" s="25" t="s">
        <v>134</v>
      </c>
      <c r="H114" s="26"/>
      <c r="I114" s="26">
        <v>1</v>
      </c>
      <c r="J114" s="26"/>
      <c r="K114" s="26"/>
      <c r="L114" s="26"/>
      <c r="M114" s="26"/>
      <c r="N114" s="26"/>
      <c r="O114" s="26"/>
      <c r="P114" s="26"/>
      <c r="Q114" s="26"/>
      <c r="R114" s="26"/>
      <c r="S114" s="26"/>
      <c r="T114" s="26"/>
      <c r="U114" s="26"/>
      <c r="V114" s="26"/>
      <c r="W114" s="26"/>
      <c r="X114" s="26"/>
      <c r="Y114" s="26"/>
      <c r="Z114" s="26"/>
      <c r="AA114" s="26"/>
      <c r="AB114" s="26">
        <f t="shared" si="59"/>
        <v>1</v>
      </c>
      <c r="AC114" s="46"/>
      <c r="AD114" s="46"/>
      <c r="AE114" s="46"/>
      <c r="AF114" s="26">
        <f>ROUND((AD114+AE114+AC114)*$AF$4,2)</f>
        <v>0</v>
      </c>
      <c r="AG114" s="26">
        <f>ROUND((AD114+AE114+AF114+AC114)*AG$4,2)</f>
        <v>0</v>
      </c>
      <c r="AH114" s="26">
        <f>ROUND((AD114+AE114+AF114+AG114+AC114)*AH$4,2)</f>
        <v>0</v>
      </c>
      <c r="AI114" s="26">
        <f t="shared" si="60"/>
        <v>0</v>
      </c>
      <c r="AJ114" s="26">
        <f t="shared" si="61"/>
        <v>0</v>
      </c>
      <c r="AK114" s="26">
        <f t="shared" si="62"/>
        <v>0</v>
      </c>
      <c r="AL114" s="26">
        <f t="shared" si="63"/>
        <v>0</v>
      </c>
      <c r="AM114" s="24"/>
      <c r="AN114" s="50"/>
      <c r="AO114" s="64"/>
      <c r="AP114" s="65"/>
      <c r="AQ114" s="64"/>
      <c r="AR114" s="64"/>
      <c r="AS114" s="64"/>
    </row>
    <row r="115" s="1" customFormat="1" ht="60" outlineLevel="2" spans="1:45">
      <c r="A115" s="25">
        <v>4</v>
      </c>
      <c r="B115" s="22" t="s">
        <v>325</v>
      </c>
      <c r="C115" s="23" t="s">
        <v>326</v>
      </c>
      <c r="D115" s="24" t="s">
        <v>320</v>
      </c>
      <c r="E115" s="27"/>
      <c r="F115" s="27"/>
      <c r="G115" s="25" t="s">
        <v>134</v>
      </c>
      <c r="H115" s="26"/>
      <c r="I115" s="26">
        <v>1</v>
      </c>
      <c r="J115" s="26"/>
      <c r="K115" s="26"/>
      <c r="L115" s="26"/>
      <c r="M115" s="26"/>
      <c r="N115" s="26"/>
      <c r="O115" s="26"/>
      <c r="P115" s="26"/>
      <c r="Q115" s="26"/>
      <c r="R115" s="26"/>
      <c r="S115" s="26"/>
      <c r="T115" s="26"/>
      <c r="U115" s="26"/>
      <c r="V115" s="26"/>
      <c r="W115" s="26"/>
      <c r="X115" s="26"/>
      <c r="Y115" s="26"/>
      <c r="Z115" s="26"/>
      <c r="AA115" s="26"/>
      <c r="AB115" s="26">
        <f t="shared" si="59"/>
        <v>1</v>
      </c>
      <c r="AC115" s="46"/>
      <c r="AD115" s="46"/>
      <c r="AE115" s="46"/>
      <c r="AF115" s="26">
        <f>ROUND((AD115+AE115+AC115)*$AF$4,2)</f>
        <v>0</v>
      </c>
      <c r="AG115" s="26">
        <f>ROUND((AD115+AE115+AF115+AC115)*AG$4,2)</f>
        <v>0</v>
      </c>
      <c r="AH115" s="26">
        <f>ROUND((AD115+AE115+AF115+AG115+AC115)*AH$4,2)</f>
        <v>0</v>
      </c>
      <c r="AI115" s="26">
        <f t="shared" si="60"/>
        <v>0</v>
      </c>
      <c r="AJ115" s="26">
        <f t="shared" si="61"/>
        <v>0</v>
      </c>
      <c r="AK115" s="26">
        <f t="shared" si="62"/>
        <v>0</v>
      </c>
      <c r="AL115" s="26">
        <f t="shared" si="63"/>
        <v>0</v>
      </c>
      <c r="AM115" s="24"/>
      <c r="AN115" s="50"/>
      <c r="AO115" s="64"/>
      <c r="AP115" s="65"/>
      <c r="AQ115" s="64"/>
      <c r="AR115" s="64"/>
      <c r="AS115" s="64"/>
    </row>
    <row r="116" s="1" customFormat="1" ht="72" outlineLevel="2" spans="1:45">
      <c r="A116" s="25">
        <v>5</v>
      </c>
      <c r="B116" s="22" t="s">
        <v>327</v>
      </c>
      <c r="C116" s="23" t="s">
        <v>328</v>
      </c>
      <c r="D116" s="24" t="s">
        <v>320</v>
      </c>
      <c r="E116" s="27"/>
      <c r="F116" s="27"/>
      <c r="G116" s="25" t="s">
        <v>329</v>
      </c>
      <c r="H116" s="26"/>
      <c r="I116" s="26">
        <v>1</v>
      </c>
      <c r="J116" s="26"/>
      <c r="K116" s="26"/>
      <c r="L116" s="26"/>
      <c r="M116" s="26"/>
      <c r="N116" s="26"/>
      <c r="O116" s="26"/>
      <c r="P116" s="26"/>
      <c r="Q116" s="26"/>
      <c r="R116" s="26"/>
      <c r="S116" s="26"/>
      <c r="T116" s="26"/>
      <c r="U116" s="26"/>
      <c r="V116" s="26"/>
      <c r="W116" s="26"/>
      <c r="X116" s="26"/>
      <c r="Y116" s="26"/>
      <c r="Z116" s="26"/>
      <c r="AA116" s="26"/>
      <c r="AB116" s="26">
        <f t="shared" si="59"/>
        <v>1</v>
      </c>
      <c r="AC116" s="46"/>
      <c r="AD116" s="46"/>
      <c r="AE116" s="46"/>
      <c r="AF116" s="26">
        <f>ROUND((AD116+AE116+AC116)*$AF$4,2)</f>
        <v>0</v>
      </c>
      <c r="AG116" s="26">
        <f>ROUND((AD116+AE116+AF116+AC116)*AG$4,2)</f>
        <v>0</v>
      </c>
      <c r="AH116" s="26">
        <f>ROUND((AD116+AE116+AF116+AG116+AC116)*AH$4,2)</f>
        <v>0</v>
      </c>
      <c r="AI116" s="26">
        <f t="shared" si="60"/>
        <v>0</v>
      </c>
      <c r="AJ116" s="26">
        <f t="shared" si="61"/>
        <v>0</v>
      </c>
      <c r="AK116" s="26">
        <f t="shared" si="62"/>
        <v>0</v>
      </c>
      <c r="AL116" s="26">
        <f t="shared" si="63"/>
        <v>0</v>
      </c>
      <c r="AM116" s="24"/>
      <c r="AN116" s="50"/>
      <c r="AO116" s="64"/>
      <c r="AP116" s="65"/>
      <c r="AQ116" s="64"/>
      <c r="AR116" s="64"/>
      <c r="AS116" s="64"/>
    </row>
    <row r="117" s="1" customFormat="1" ht="96" outlineLevel="2" spans="1:45">
      <c r="A117" s="25">
        <v>6</v>
      </c>
      <c r="B117" s="22" t="s">
        <v>330</v>
      </c>
      <c r="C117" s="23" t="s">
        <v>331</v>
      </c>
      <c r="D117" s="24" t="s">
        <v>320</v>
      </c>
      <c r="E117" s="27"/>
      <c r="F117" s="27"/>
      <c r="G117" s="25" t="s">
        <v>134</v>
      </c>
      <c r="H117" s="26"/>
      <c r="I117" s="26">
        <v>1</v>
      </c>
      <c r="J117" s="26"/>
      <c r="K117" s="26"/>
      <c r="L117" s="26"/>
      <c r="M117" s="26"/>
      <c r="N117" s="26"/>
      <c r="O117" s="26"/>
      <c r="P117" s="26"/>
      <c r="Q117" s="26"/>
      <c r="R117" s="26"/>
      <c r="S117" s="26"/>
      <c r="T117" s="26"/>
      <c r="U117" s="26"/>
      <c r="V117" s="26"/>
      <c r="W117" s="26"/>
      <c r="X117" s="26"/>
      <c r="Y117" s="26"/>
      <c r="Z117" s="26"/>
      <c r="AA117" s="26"/>
      <c r="AB117" s="26">
        <f t="shared" si="59"/>
        <v>1</v>
      </c>
      <c r="AC117" s="46"/>
      <c r="AD117" s="46"/>
      <c r="AE117" s="46"/>
      <c r="AF117" s="26">
        <f>ROUND((AD117+AE117+AC117)*$AF$4,2)</f>
        <v>0</v>
      </c>
      <c r="AG117" s="26">
        <f>ROUND((AD117+AE117+AF117+AC117)*AG$4,2)</f>
        <v>0</v>
      </c>
      <c r="AH117" s="26">
        <f>ROUND((AD117+AE117+AF117+AG117+AC117)*AH$4,2)</f>
        <v>0</v>
      </c>
      <c r="AI117" s="26">
        <f t="shared" si="60"/>
        <v>0</v>
      </c>
      <c r="AJ117" s="26">
        <f t="shared" si="61"/>
        <v>0</v>
      </c>
      <c r="AK117" s="26">
        <f t="shared" si="62"/>
        <v>0</v>
      </c>
      <c r="AL117" s="26">
        <f t="shared" si="63"/>
        <v>0</v>
      </c>
      <c r="AM117" s="24"/>
      <c r="AN117" s="50"/>
      <c r="AO117" s="64"/>
      <c r="AP117" s="65"/>
      <c r="AQ117" s="64"/>
      <c r="AR117" s="64"/>
      <c r="AS117" s="64"/>
    </row>
    <row r="118" s="1" customFormat="1" ht="48" outlineLevel="2" spans="1:45">
      <c r="A118" s="25">
        <v>7</v>
      </c>
      <c r="B118" s="22" t="s">
        <v>332</v>
      </c>
      <c r="C118" s="23" t="s">
        <v>333</v>
      </c>
      <c r="D118" s="24" t="s">
        <v>320</v>
      </c>
      <c r="E118" s="27"/>
      <c r="F118" s="27"/>
      <c r="G118" s="25" t="s">
        <v>134</v>
      </c>
      <c r="H118" s="26"/>
      <c r="I118" s="26">
        <v>1</v>
      </c>
      <c r="J118" s="26"/>
      <c r="K118" s="26"/>
      <c r="L118" s="26"/>
      <c r="M118" s="26"/>
      <c r="N118" s="26"/>
      <c r="O118" s="26"/>
      <c r="P118" s="26"/>
      <c r="Q118" s="26"/>
      <c r="R118" s="26"/>
      <c r="S118" s="26"/>
      <c r="T118" s="26"/>
      <c r="U118" s="26"/>
      <c r="V118" s="26"/>
      <c r="W118" s="26"/>
      <c r="X118" s="26"/>
      <c r="Y118" s="26"/>
      <c r="Z118" s="26"/>
      <c r="AA118" s="26"/>
      <c r="AB118" s="26">
        <f t="shared" si="59"/>
        <v>1</v>
      </c>
      <c r="AC118" s="46"/>
      <c r="AD118" s="46"/>
      <c r="AE118" s="46"/>
      <c r="AF118" s="26">
        <f>ROUND((AD118+AE118+AC118)*$AF$4,2)</f>
        <v>0</v>
      </c>
      <c r="AG118" s="26">
        <f>ROUND((AD118+AE118+AF118+AC118)*AG$4,2)</f>
        <v>0</v>
      </c>
      <c r="AH118" s="26">
        <f>ROUND((AD118+AE118+AF118+AG118+AC118)*AH$4,2)</f>
        <v>0</v>
      </c>
      <c r="AI118" s="26">
        <f t="shared" si="60"/>
        <v>0</v>
      </c>
      <c r="AJ118" s="26">
        <f t="shared" si="61"/>
        <v>0</v>
      </c>
      <c r="AK118" s="26">
        <f t="shared" si="62"/>
        <v>0</v>
      </c>
      <c r="AL118" s="26">
        <f t="shared" si="63"/>
        <v>0</v>
      </c>
      <c r="AM118" s="24"/>
      <c r="AN118" s="50"/>
      <c r="AO118" s="64"/>
      <c r="AP118" s="65"/>
      <c r="AQ118" s="64"/>
      <c r="AR118" s="64"/>
      <c r="AS118" s="64"/>
    </row>
    <row r="119" s="1" customFormat="1" ht="132" outlineLevel="2" spans="1:45">
      <c r="A119" s="25">
        <v>8</v>
      </c>
      <c r="B119" s="23" t="s">
        <v>334</v>
      </c>
      <c r="C119" s="23" t="s">
        <v>335</v>
      </c>
      <c r="D119" s="24" t="s">
        <v>320</v>
      </c>
      <c r="E119" s="27"/>
      <c r="F119" s="27"/>
      <c r="G119" s="25" t="s">
        <v>336</v>
      </c>
      <c r="H119" s="26"/>
      <c r="I119" s="26">
        <v>1</v>
      </c>
      <c r="J119" s="26"/>
      <c r="K119" s="26"/>
      <c r="L119" s="26"/>
      <c r="M119" s="26"/>
      <c r="N119" s="26"/>
      <c r="O119" s="26"/>
      <c r="P119" s="26"/>
      <c r="Q119" s="26"/>
      <c r="R119" s="26"/>
      <c r="S119" s="26"/>
      <c r="T119" s="26"/>
      <c r="U119" s="26"/>
      <c r="V119" s="26"/>
      <c r="W119" s="26"/>
      <c r="X119" s="26"/>
      <c r="Y119" s="26"/>
      <c r="Z119" s="26"/>
      <c r="AA119" s="26"/>
      <c r="AB119" s="26">
        <f t="shared" si="59"/>
        <v>1</v>
      </c>
      <c r="AC119" s="46"/>
      <c r="AD119" s="46"/>
      <c r="AE119" s="46"/>
      <c r="AF119" s="26">
        <f>ROUND((AD119+AE119+AC119)*$AF$4,2)</f>
        <v>0</v>
      </c>
      <c r="AG119" s="26">
        <f>ROUND((AD119+AE119+AF119+AC119)*AG$4,2)</f>
        <v>0</v>
      </c>
      <c r="AH119" s="26">
        <f>ROUND((AD119+AE119+AF119+AG119+AC119)*AH$4,2)</f>
        <v>0</v>
      </c>
      <c r="AI119" s="26">
        <f t="shared" si="60"/>
        <v>0</v>
      </c>
      <c r="AJ119" s="26">
        <f t="shared" si="61"/>
        <v>0</v>
      </c>
      <c r="AK119" s="26">
        <f t="shared" si="62"/>
        <v>0</v>
      </c>
      <c r="AL119" s="26">
        <f t="shared" si="63"/>
        <v>0</v>
      </c>
      <c r="AM119" s="24"/>
      <c r="AN119" s="50"/>
      <c r="AO119" s="64"/>
      <c r="AP119" s="65"/>
      <c r="AQ119" s="64"/>
      <c r="AR119" s="64"/>
      <c r="AS119" s="64"/>
    </row>
    <row r="120" s="1" customFormat="1" ht="60" outlineLevel="2" spans="1:45">
      <c r="A120" s="25">
        <v>9</v>
      </c>
      <c r="B120" s="22" t="s">
        <v>337</v>
      </c>
      <c r="C120" s="23" t="s">
        <v>338</v>
      </c>
      <c r="D120" s="24" t="s">
        <v>320</v>
      </c>
      <c r="E120" s="27"/>
      <c r="F120" s="27"/>
      <c r="G120" s="25" t="s">
        <v>134</v>
      </c>
      <c r="H120" s="26"/>
      <c r="I120" s="26">
        <v>1</v>
      </c>
      <c r="J120" s="26"/>
      <c r="K120" s="26"/>
      <c r="L120" s="26"/>
      <c r="M120" s="26"/>
      <c r="N120" s="26"/>
      <c r="O120" s="26"/>
      <c r="P120" s="26"/>
      <c r="Q120" s="26"/>
      <c r="R120" s="26"/>
      <c r="S120" s="26"/>
      <c r="T120" s="26"/>
      <c r="U120" s="26"/>
      <c r="V120" s="26"/>
      <c r="W120" s="26"/>
      <c r="X120" s="26"/>
      <c r="Y120" s="26"/>
      <c r="Z120" s="26"/>
      <c r="AA120" s="26"/>
      <c r="AB120" s="26">
        <f t="shared" si="59"/>
        <v>1</v>
      </c>
      <c r="AC120" s="46"/>
      <c r="AD120" s="46"/>
      <c r="AE120" s="46"/>
      <c r="AF120" s="26">
        <f>ROUND((AD120+AE120+AC120)*$AF$4,2)</f>
        <v>0</v>
      </c>
      <c r="AG120" s="26">
        <f>ROUND((AD120+AE120+AF120+AC120)*AG$4,2)</f>
        <v>0</v>
      </c>
      <c r="AH120" s="26">
        <f>ROUND((AD120+AE120+AF120+AG120+AC120)*AH$4,2)</f>
        <v>0</v>
      </c>
      <c r="AI120" s="26">
        <f t="shared" si="60"/>
        <v>0</v>
      </c>
      <c r="AJ120" s="26">
        <f t="shared" si="61"/>
        <v>0</v>
      </c>
      <c r="AK120" s="26">
        <f t="shared" si="62"/>
        <v>0</v>
      </c>
      <c r="AL120" s="26">
        <f t="shared" si="63"/>
        <v>0</v>
      </c>
      <c r="AM120" s="24"/>
      <c r="AN120" s="50"/>
      <c r="AO120" s="64"/>
      <c r="AP120" s="65"/>
      <c r="AQ120" s="64"/>
      <c r="AR120" s="64"/>
      <c r="AS120" s="64"/>
    </row>
    <row r="121" s="1" customFormat="1" ht="168" outlineLevel="2" spans="1:45">
      <c r="A121" s="25">
        <v>10</v>
      </c>
      <c r="B121" s="22" t="s">
        <v>339</v>
      </c>
      <c r="C121" s="23" t="s">
        <v>340</v>
      </c>
      <c r="D121" s="24" t="s">
        <v>320</v>
      </c>
      <c r="E121" s="27"/>
      <c r="F121" s="27"/>
      <c r="G121" s="25" t="s">
        <v>134</v>
      </c>
      <c r="H121" s="26"/>
      <c r="I121" s="26">
        <v>1</v>
      </c>
      <c r="J121" s="26"/>
      <c r="K121" s="26"/>
      <c r="L121" s="26"/>
      <c r="M121" s="26"/>
      <c r="N121" s="26"/>
      <c r="O121" s="26"/>
      <c r="P121" s="26"/>
      <c r="Q121" s="26"/>
      <c r="R121" s="26"/>
      <c r="S121" s="26"/>
      <c r="T121" s="26"/>
      <c r="U121" s="26"/>
      <c r="V121" s="26"/>
      <c r="W121" s="26"/>
      <c r="X121" s="26"/>
      <c r="Y121" s="26"/>
      <c r="Z121" s="26"/>
      <c r="AA121" s="26"/>
      <c r="AB121" s="26">
        <f t="shared" si="59"/>
        <v>1</v>
      </c>
      <c r="AC121" s="46"/>
      <c r="AD121" s="46"/>
      <c r="AE121" s="46"/>
      <c r="AF121" s="26">
        <f>ROUND((AD121+AE121+AC121)*$AF$4,2)</f>
        <v>0</v>
      </c>
      <c r="AG121" s="26">
        <f>ROUND((AD121+AE121+AF121+AC121)*AG$4,2)</f>
        <v>0</v>
      </c>
      <c r="AH121" s="26">
        <f>ROUND((AD121+AE121+AF121+AG121+AC121)*AH$4,2)</f>
        <v>0</v>
      </c>
      <c r="AI121" s="26">
        <f t="shared" si="60"/>
        <v>0</v>
      </c>
      <c r="AJ121" s="26">
        <f t="shared" si="61"/>
        <v>0</v>
      </c>
      <c r="AK121" s="26">
        <f t="shared" si="62"/>
        <v>0</v>
      </c>
      <c r="AL121" s="26">
        <f t="shared" si="63"/>
        <v>0</v>
      </c>
      <c r="AM121" s="24"/>
      <c r="AN121" s="50"/>
      <c r="AO121" s="64"/>
      <c r="AP121" s="65"/>
      <c r="AQ121" s="64"/>
      <c r="AR121" s="64"/>
      <c r="AS121" s="64"/>
    </row>
    <row r="122" s="3" customFormat="1" ht="84" outlineLevel="2" spans="1:45">
      <c r="A122" s="28">
        <v>11</v>
      </c>
      <c r="B122" s="30" t="s">
        <v>341</v>
      </c>
      <c r="C122" s="30" t="s">
        <v>342</v>
      </c>
      <c r="D122" s="31" t="s">
        <v>320</v>
      </c>
      <c r="E122" s="32"/>
      <c r="F122" s="32"/>
      <c r="G122" s="28" t="s">
        <v>134</v>
      </c>
      <c r="H122" s="33"/>
      <c r="I122" s="33">
        <v>2</v>
      </c>
      <c r="J122" s="33"/>
      <c r="K122" s="33"/>
      <c r="L122" s="33"/>
      <c r="M122" s="33"/>
      <c r="N122" s="33"/>
      <c r="O122" s="33"/>
      <c r="P122" s="33"/>
      <c r="Q122" s="33"/>
      <c r="R122" s="33"/>
      <c r="S122" s="33"/>
      <c r="T122" s="33"/>
      <c r="U122" s="33"/>
      <c r="V122" s="33"/>
      <c r="W122" s="33"/>
      <c r="X122" s="33"/>
      <c r="Y122" s="33"/>
      <c r="Z122" s="33"/>
      <c r="AA122" s="33"/>
      <c r="AB122" s="33">
        <f t="shared" si="59"/>
        <v>2</v>
      </c>
      <c r="AC122" s="47"/>
      <c r="AD122" s="47"/>
      <c r="AE122" s="47"/>
      <c r="AF122" s="33">
        <f>ROUND((AD122+AE122+AC122)*$AF$4,2)</f>
        <v>0</v>
      </c>
      <c r="AG122" s="33">
        <f>ROUND((AD122+AE122+AF122+AC122)*AG$4,2)</f>
        <v>0</v>
      </c>
      <c r="AH122" s="33">
        <f>ROUND((AD122+AE122+AF122+AG122+AC122)*AH$4,2)</f>
        <v>0</v>
      </c>
      <c r="AI122" s="33">
        <f t="shared" si="60"/>
        <v>0</v>
      </c>
      <c r="AJ122" s="33">
        <f t="shared" si="61"/>
        <v>0</v>
      </c>
      <c r="AK122" s="33">
        <f t="shared" si="62"/>
        <v>0</v>
      </c>
      <c r="AL122" s="33">
        <f t="shared" si="63"/>
        <v>0</v>
      </c>
      <c r="AM122" s="31"/>
      <c r="AN122" s="53"/>
      <c r="AO122" s="67"/>
      <c r="AP122" s="77"/>
      <c r="AQ122" s="67"/>
      <c r="AR122" s="67"/>
      <c r="AS122" s="67"/>
    </row>
    <row r="123" s="1" customFormat="1" ht="156" outlineLevel="2" spans="1:45">
      <c r="A123" s="25">
        <v>12</v>
      </c>
      <c r="B123" s="22" t="s">
        <v>343</v>
      </c>
      <c r="C123" s="23" t="s">
        <v>344</v>
      </c>
      <c r="D123" s="24" t="s">
        <v>320</v>
      </c>
      <c r="E123" s="27"/>
      <c r="F123" s="27"/>
      <c r="G123" s="25" t="s">
        <v>134</v>
      </c>
      <c r="H123" s="26"/>
      <c r="I123" s="26">
        <v>1</v>
      </c>
      <c r="J123" s="26"/>
      <c r="K123" s="26"/>
      <c r="L123" s="26"/>
      <c r="M123" s="26"/>
      <c r="N123" s="26"/>
      <c r="O123" s="26"/>
      <c r="P123" s="26"/>
      <c r="Q123" s="26"/>
      <c r="R123" s="26"/>
      <c r="S123" s="26"/>
      <c r="T123" s="26"/>
      <c r="U123" s="26"/>
      <c r="V123" s="26"/>
      <c r="W123" s="26"/>
      <c r="X123" s="26"/>
      <c r="Y123" s="26"/>
      <c r="Z123" s="26"/>
      <c r="AA123" s="26"/>
      <c r="AB123" s="26">
        <f t="shared" si="59"/>
        <v>1</v>
      </c>
      <c r="AC123" s="46"/>
      <c r="AD123" s="46"/>
      <c r="AE123" s="46"/>
      <c r="AF123" s="26">
        <f>ROUND((AD123+AE123+AC123)*$AF$4,2)</f>
        <v>0</v>
      </c>
      <c r="AG123" s="26">
        <f>ROUND((AD123+AE123+AF123+AC123)*AG$4,2)</f>
        <v>0</v>
      </c>
      <c r="AH123" s="26">
        <f>ROUND((AD123+AE123+AF123+AG123+AC123)*AH$4,2)</f>
        <v>0</v>
      </c>
      <c r="AI123" s="26">
        <f t="shared" si="60"/>
        <v>0</v>
      </c>
      <c r="AJ123" s="26">
        <f t="shared" si="61"/>
        <v>0</v>
      </c>
      <c r="AK123" s="26">
        <f t="shared" si="62"/>
        <v>0</v>
      </c>
      <c r="AL123" s="26">
        <f t="shared" si="63"/>
        <v>0</v>
      </c>
      <c r="AM123" s="24"/>
      <c r="AN123" s="50"/>
      <c r="AO123" s="64"/>
      <c r="AP123" s="65"/>
      <c r="AQ123" s="64"/>
      <c r="AR123" s="64"/>
      <c r="AS123" s="64"/>
    </row>
    <row r="124" s="1" customFormat="1" ht="48" outlineLevel="2" spans="1:45">
      <c r="A124" s="25">
        <v>13</v>
      </c>
      <c r="B124" s="70" t="s">
        <v>345</v>
      </c>
      <c r="C124" s="39" t="s">
        <v>346</v>
      </c>
      <c r="D124" s="24" t="s">
        <v>208</v>
      </c>
      <c r="E124" s="27"/>
      <c r="F124" s="27"/>
      <c r="G124" s="25" t="s">
        <v>134</v>
      </c>
      <c r="H124" s="26"/>
      <c r="I124" s="26">
        <v>1</v>
      </c>
      <c r="J124" s="26"/>
      <c r="K124" s="26"/>
      <c r="L124" s="26"/>
      <c r="M124" s="26"/>
      <c r="N124" s="26"/>
      <c r="O124" s="26"/>
      <c r="P124" s="26"/>
      <c r="Q124" s="26"/>
      <c r="R124" s="26"/>
      <c r="S124" s="26"/>
      <c r="T124" s="26"/>
      <c r="U124" s="26"/>
      <c r="V124" s="26"/>
      <c r="W124" s="26"/>
      <c r="X124" s="26"/>
      <c r="Y124" s="26"/>
      <c r="Z124" s="26"/>
      <c r="AA124" s="26"/>
      <c r="AB124" s="26">
        <v>1</v>
      </c>
      <c r="AC124" s="46"/>
      <c r="AD124" s="46"/>
      <c r="AE124" s="46"/>
      <c r="AF124" s="26">
        <f>ROUND((AD124+AE124+AC124)*$AF$4,2)</f>
        <v>0</v>
      </c>
      <c r="AG124" s="26">
        <f>ROUND((AD124+AE124+AF124+AC124)*AG$4,2)</f>
        <v>0</v>
      </c>
      <c r="AH124" s="26">
        <f>ROUND((AD124+AE124+AF124+AG124+AC124)*AH$4,2)</f>
        <v>0</v>
      </c>
      <c r="AI124" s="26">
        <f t="shared" si="60"/>
        <v>0</v>
      </c>
      <c r="AJ124" s="26">
        <f t="shared" si="61"/>
        <v>0</v>
      </c>
      <c r="AK124" s="26">
        <f t="shared" si="62"/>
        <v>0</v>
      </c>
      <c r="AL124" s="26">
        <f t="shared" si="63"/>
        <v>0</v>
      </c>
      <c r="AM124" s="24"/>
      <c r="AN124" s="50"/>
      <c r="AO124" s="64"/>
      <c r="AP124" s="65"/>
      <c r="AQ124" s="64"/>
      <c r="AR124" s="64"/>
      <c r="AS124" s="64"/>
    </row>
    <row r="125" s="1" customFormat="1" ht="30" customHeight="1" outlineLevel="1" spans="1:45">
      <c r="A125" s="21" t="s">
        <v>347</v>
      </c>
      <c r="B125" s="22"/>
      <c r="C125" s="22"/>
      <c r="D125" s="24"/>
      <c r="E125" s="25"/>
      <c r="F125" s="25"/>
      <c r="G125" s="25"/>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16">
        <f>SUM(AK126:AK130)</f>
        <v>0</v>
      </c>
      <c r="AL125" s="16">
        <f>SUM(AL126:AL130)</f>
        <v>0</v>
      </c>
      <c r="AM125" s="24"/>
      <c r="AN125" s="50"/>
      <c r="AO125" s="64"/>
      <c r="AP125" s="65"/>
      <c r="AQ125" s="64"/>
      <c r="AR125" s="64"/>
      <c r="AS125" s="64"/>
    </row>
    <row r="126" s="1" customFormat="1" ht="48" customHeight="1" outlineLevel="2" spans="1:45">
      <c r="A126" s="25">
        <v>1</v>
      </c>
      <c r="B126" s="22" t="s">
        <v>348</v>
      </c>
      <c r="C126" s="22" t="s">
        <v>349</v>
      </c>
      <c r="D126" s="24" t="s">
        <v>162</v>
      </c>
      <c r="E126" s="27"/>
      <c r="F126" s="27"/>
      <c r="G126" s="25" t="s">
        <v>173</v>
      </c>
      <c r="H126" s="26"/>
      <c r="I126" s="26"/>
      <c r="J126" s="26"/>
      <c r="K126" s="26"/>
      <c r="L126" s="26"/>
      <c r="M126" s="26"/>
      <c r="N126" s="26"/>
      <c r="O126" s="26"/>
      <c r="P126" s="26"/>
      <c r="Q126" s="26"/>
      <c r="R126" s="26"/>
      <c r="S126" s="26"/>
      <c r="T126" s="26"/>
      <c r="U126" s="26"/>
      <c r="V126" s="26"/>
      <c r="W126" s="26"/>
      <c r="X126" s="26"/>
      <c r="Y126" s="26"/>
      <c r="Z126" s="26">
        <f>Z127+18+278.483+2</f>
        <v>853.408</v>
      </c>
      <c r="AA126" s="26"/>
      <c r="AB126" s="26">
        <f>SUM(H126:AA126)</f>
        <v>853.408</v>
      </c>
      <c r="AC126" s="46"/>
      <c r="AD126" s="46"/>
      <c r="AE126" s="46"/>
      <c r="AF126" s="26">
        <f>ROUND((AD126+AE126+AC126)*$AF$4,2)</f>
        <v>0</v>
      </c>
      <c r="AG126" s="26">
        <f>ROUND((AD126+AE126+AF126+AC126)*AG$4,2)</f>
        <v>0</v>
      </c>
      <c r="AH126" s="26">
        <f>ROUND((AD126+AE126+AF126+AG126+AC126)*AH$4,2)</f>
        <v>0</v>
      </c>
      <c r="AI126" s="26">
        <f t="shared" ref="AI126:AI130" si="64">ROUND((AD126+AE126+AF126+AG126+AC126),2)</f>
        <v>0</v>
      </c>
      <c r="AJ126" s="26">
        <f t="shared" ref="AJ126:AJ130" si="65">ROUND((AD126+AE126+AF126+AG126+AH126+AC126),2)</f>
        <v>0</v>
      </c>
      <c r="AK126" s="26">
        <f t="shared" ref="AK126:AK130" si="66">ROUND((AI126*AB126),2)</f>
        <v>0</v>
      </c>
      <c r="AL126" s="26">
        <f t="shared" ref="AL126:AL130" si="67">ROUND((AJ126*AB126),2)</f>
        <v>0</v>
      </c>
      <c r="AM126" s="24"/>
      <c r="AN126" s="50"/>
      <c r="AO126" s="50"/>
      <c r="AP126" s="9"/>
      <c r="AQ126" s="50"/>
      <c r="AR126" s="50"/>
      <c r="AS126" s="50"/>
    </row>
    <row r="127" s="1" customFormat="1" ht="48" customHeight="1" outlineLevel="2" spans="1:45">
      <c r="A127" s="25">
        <v>2</v>
      </c>
      <c r="B127" s="22" t="s">
        <v>248</v>
      </c>
      <c r="C127" s="22" t="s">
        <v>350</v>
      </c>
      <c r="D127" s="24" t="s">
        <v>351</v>
      </c>
      <c r="E127" s="27"/>
      <c r="F127" s="27"/>
      <c r="G127" s="25" t="s">
        <v>173</v>
      </c>
      <c r="H127" s="26"/>
      <c r="I127" s="26"/>
      <c r="J127" s="26"/>
      <c r="K127" s="26"/>
      <c r="L127" s="26"/>
      <c r="M127" s="26"/>
      <c r="N127" s="26"/>
      <c r="O127" s="26"/>
      <c r="P127" s="26"/>
      <c r="Q127" s="26"/>
      <c r="R127" s="26"/>
      <c r="S127" s="26"/>
      <c r="T127" s="26"/>
      <c r="U127" s="26"/>
      <c r="V127" s="26"/>
      <c r="W127" s="26"/>
      <c r="X127" s="26"/>
      <c r="Y127" s="26"/>
      <c r="Z127" s="26">
        <f>(484.042+10.534+8.893*2+5.042*2+7.979)+0.7*35</f>
        <v>554.925</v>
      </c>
      <c r="AA127" s="26"/>
      <c r="AB127" s="26">
        <f>SUM(H127:AA127)</f>
        <v>554.925</v>
      </c>
      <c r="AC127" s="46"/>
      <c r="AD127" s="46"/>
      <c r="AE127" s="46"/>
      <c r="AF127" s="26">
        <f>ROUND((AD127+AE127+AC127)*$AF$4,2)</f>
        <v>0</v>
      </c>
      <c r="AG127" s="26">
        <f>ROUND((AD127+AE127+AF127+AC127)*AG$4,2)</f>
        <v>0</v>
      </c>
      <c r="AH127" s="26">
        <f>ROUND((AD127+AE127+AF127+AG127+AC127)*AH$4,2)</f>
        <v>0</v>
      </c>
      <c r="AI127" s="26">
        <f t="shared" si="64"/>
        <v>0</v>
      </c>
      <c r="AJ127" s="26">
        <f t="shared" si="65"/>
        <v>0</v>
      </c>
      <c r="AK127" s="26">
        <f t="shared" si="66"/>
        <v>0</v>
      </c>
      <c r="AL127" s="26">
        <f t="shared" si="67"/>
        <v>0</v>
      </c>
      <c r="AM127" s="24"/>
      <c r="AN127" s="50"/>
      <c r="AO127" s="52"/>
      <c r="AP127" s="50"/>
      <c r="AQ127" s="50"/>
      <c r="AR127" s="50"/>
      <c r="AS127" s="50"/>
    </row>
    <row r="128" s="4" customFormat="1" ht="48" customHeight="1" outlineLevel="2" spans="1:45">
      <c r="A128" s="25">
        <v>3</v>
      </c>
      <c r="B128" s="39" t="s">
        <v>352</v>
      </c>
      <c r="C128" s="39" t="s">
        <v>350</v>
      </c>
      <c r="D128" s="24" t="s">
        <v>351</v>
      </c>
      <c r="E128" s="71"/>
      <c r="F128" s="71"/>
      <c r="G128" s="72" t="s">
        <v>173</v>
      </c>
      <c r="H128" s="26"/>
      <c r="I128" s="26"/>
      <c r="J128" s="26"/>
      <c r="K128" s="26"/>
      <c r="L128" s="26"/>
      <c r="M128" s="26"/>
      <c r="N128" s="26"/>
      <c r="O128" s="26"/>
      <c r="P128" s="26"/>
      <c r="Q128" s="26"/>
      <c r="R128" s="26"/>
      <c r="S128" s="26"/>
      <c r="T128" s="26"/>
      <c r="U128" s="26"/>
      <c r="V128" s="26"/>
      <c r="W128" s="26"/>
      <c r="X128" s="26"/>
      <c r="Y128" s="26"/>
      <c r="Z128" s="26"/>
      <c r="AA128" s="26"/>
      <c r="AB128" s="26">
        <v>50</v>
      </c>
      <c r="AC128" s="74"/>
      <c r="AD128" s="74"/>
      <c r="AE128" s="74"/>
      <c r="AF128" s="26">
        <f>ROUND((AD128+AE128+AC128)*$AF$4,2)</f>
        <v>0</v>
      </c>
      <c r="AG128" s="26">
        <f>ROUND((AD128+AE128+AF128+AC128)*AG$4,2)</f>
        <v>0</v>
      </c>
      <c r="AH128" s="26">
        <f>ROUND((AD128+AE128+AF128+AG128+AC128)*AH$4,2)</f>
        <v>0</v>
      </c>
      <c r="AI128" s="26">
        <f t="shared" si="64"/>
        <v>0</v>
      </c>
      <c r="AJ128" s="26">
        <f t="shared" si="65"/>
        <v>0</v>
      </c>
      <c r="AK128" s="26">
        <f t="shared" si="66"/>
        <v>0</v>
      </c>
      <c r="AL128" s="26">
        <f t="shared" si="67"/>
        <v>0</v>
      </c>
      <c r="AM128" s="76"/>
      <c r="AN128" s="50"/>
      <c r="AP128" s="64"/>
      <c r="AQ128" s="64"/>
      <c r="AR128" s="64"/>
      <c r="AS128" s="64"/>
    </row>
    <row r="129" s="5" customFormat="1" ht="48" customHeight="1" outlineLevel="2" spans="1:45">
      <c r="A129" s="28">
        <v>4</v>
      </c>
      <c r="B129" s="68" t="s">
        <v>353</v>
      </c>
      <c r="C129" s="68" t="s">
        <v>354</v>
      </c>
      <c r="D129" s="31" t="s">
        <v>162</v>
      </c>
      <c r="E129" s="78"/>
      <c r="F129" s="78"/>
      <c r="G129" s="79" t="s">
        <v>173</v>
      </c>
      <c r="H129" s="33"/>
      <c r="I129" s="33"/>
      <c r="J129" s="33"/>
      <c r="K129" s="33"/>
      <c r="L129" s="33"/>
      <c r="M129" s="33"/>
      <c r="N129" s="33"/>
      <c r="O129" s="33"/>
      <c r="P129" s="33"/>
      <c r="Q129" s="33"/>
      <c r="R129" s="33"/>
      <c r="S129" s="33"/>
      <c r="T129" s="33"/>
      <c r="U129" s="33"/>
      <c r="V129" s="33"/>
      <c r="W129" s="33"/>
      <c r="X129" s="33"/>
      <c r="Y129" s="33"/>
      <c r="Z129" s="33"/>
      <c r="AA129" s="33"/>
      <c r="AB129" s="33">
        <v>50</v>
      </c>
      <c r="AC129" s="83"/>
      <c r="AD129" s="83"/>
      <c r="AE129" s="83"/>
      <c r="AF129" s="33">
        <f>ROUND((AD129+AE129+AC129)*$AF$4,2)</f>
        <v>0</v>
      </c>
      <c r="AG129" s="33">
        <f>ROUND((AD129+AE129+AF129+AC129)*AG$4,2)</f>
        <v>0</v>
      </c>
      <c r="AH129" s="33">
        <f>ROUND((AD129+AE129+AF129+AG129+AC129)*AH$4,2)</f>
        <v>0</v>
      </c>
      <c r="AI129" s="33">
        <f t="shared" si="64"/>
        <v>0</v>
      </c>
      <c r="AJ129" s="33">
        <f t="shared" si="65"/>
        <v>0</v>
      </c>
      <c r="AK129" s="33">
        <f t="shared" si="66"/>
        <v>0</v>
      </c>
      <c r="AL129" s="33">
        <f t="shared" si="67"/>
        <v>0</v>
      </c>
      <c r="AM129" s="84"/>
      <c r="AN129" s="53"/>
      <c r="AP129" s="67"/>
      <c r="AQ129" s="67"/>
      <c r="AR129" s="67"/>
      <c r="AS129" s="67"/>
    </row>
    <row r="130" s="1" customFormat="1" ht="48" customHeight="1" outlineLevel="2" spans="1:45">
      <c r="A130" s="25">
        <v>5</v>
      </c>
      <c r="B130" s="22" t="s">
        <v>171</v>
      </c>
      <c r="C130" s="23" t="s">
        <v>355</v>
      </c>
      <c r="D130" s="24" t="s">
        <v>162</v>
      </c>
      <c r="E130" s="35"/>
      <c r="F130" s="35"/>
      <c r="G130" s="72" t="s">
        <v>173</v>
      </c>
      <c r="H130" s="26"/>
      <c r="I130" s="26">
        <v>305</v>
      </c>
      <c r="J130" s="26"/>
      <c r="K130" s="26"/>
      <c r="L130" s="26"/>
      <c r="M130" s="26"/>
      <c r="N130" s="26"/>
      <c r="O130" s="26"/>
      <c r="P130" s="26"/>
      <c r="Q130" s="26"/>
      <c r="R130" s="26"/>
      <c r="S130" s="26"/>
      <c r="T130" s="26"/>
      <c r="U130" s="26"/>
      <c r="V130" s="26"/>
      <c r="W130" s="26"/>
      <c r="X130" s="26"/>
      <c r="Y130" s="26"/>
      <c r="Z130" s="26"/>
      <c r="AA130" s="26"/>
      <c r="AB130" s="26">
        <f>SUM(H130:AA130)</f>
        <v>305</v>
      </c>
      <c r="AC130" s="46"/>
      <c r="AD130" s="46"/>
      <c r="AE130" s="46"/>
      <c r="AF130" s="26">
        <f>ROUND((AD130+AE130+AC130)*$AF$4,2)</f>
        <v>0</v>
      </c>
      <c r="AG130" s="26">
        <f>ROUND((AD130+AE130+AF130+AC130)*AG$4,2)</f>
        <v>0</v>
      </c>
      <c r="AH130" s="26">
        <f>ROUND((AD130+AE130+AF130+AG130+AC130)*AH$4,2)</f>
        <v>0</v>
      </c>
      <c r="AI130" s="26">
        <f t="shared" si="64"/>
        <v>0</v>
      </c>
      <c r="AJ130" s="26">
        <f t="shared" si="65"/>
        <v>0</v>
      </c>
      <c r="AK130" s="26">
        <f t="shared" si="66"/>
        <v>0</v>
      </c>
      <c r="AL130" s="26">
        <f t="shared" si="67"/>
        <v>0</v>
      </c>
      <c r="AM130" s="25"/>
      <c r="AN130" s="50"/>
      <c r="AO130" s="60"/>
      <c r="AP130" s="60"/>
      <c r="AQ130" s="60"/>
      <c r="AR130" s="60"/>
      <c r="AS130" s="60"/>
    </row>
    <row r="131" s="1" customFormat="1" ht="30" customHeight="1" outlineLevel="1" spans="1:45">
      <c r="A131" s="13" t="s">
        <v>176</v>
      </c>
      <c r="B131" s="13" t="s">
        <v>177</v>
      </c>
      <c r="C131" s="21" t="s">
        <v>356</v>
      </c>
      <c r="D131" s="36"/>
      <c r="E131" s="36"/>
      <c r="F131" s="36"/>
      <c r="G131" s="13" t="s">
        <v>179</v>
      </c>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f>AK111+AK125</f>
        <v>0</v>
      </c>
      <c r="AL131" s="16">
        <f>AL111+AL125</f>
        <v>0</v>
      </c>
      <c r="AM131" s="14"/>
      <c r="AN131" s="50"/>
      <c r="AO131" s="64"/>
      <c r="AP131" s="65"/>
      <c r="AQ131" s="64"/>
      <c r="AR131" s="64"/>
      <c r="AS131" s="64"/>
    </row>
    <row r="132" s="1" customFormat="1" ht="37" customHeight="1" spans="1:45">
      <c r="A132" s="17" t="s">
        <v>357</v>
      </c>
      <c r="B132" s="17"/>
      <c r="C132" s="17"/>
      <c r="D132" s="18"/>
      <c r="E132" s="37"/>
      <c r="F132" s="37"/>
      <c r="G132" s="37"/>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20">
        <f>AK162</f>
        <v>0</v>
      </c>
      <c r="AL132" s="20">
        <f>AL162</f>
        <v>0</v>
      </c>
      <c r="AM132" s="54"/>
      <c r="AN132" s="50"/>
      <c r="AO132" s="60"/>
      <c r="AP132" s="61"/>
      <c r="AQ132" s="60"/>
      <c r="AR132" s="60"/>
      <c r="AS132" s="60"/>
    </row>
    <row r="133" s="1" customFormat="1" ht="30" customHeight="1" outlineLevel="1" spans="1:45">
      <c r="A133" s="21" t="s">
        <v>358</v>
      </c>
      <c r="B133" s="22"/>
      <c r="C133" s="22"/>
      <c r="D133" s="24"/>
      <c r="E133" s="25"/>
      <c r="F133" s="25"/>
      <c r="G133" s="25"/>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16">
        <f>SUM(AK134:AK136)</f>
        <v>0</v>
      </c>
      <c r="AL133" s="16">
        <f>SUM(AL134:AL136)</f>
        <v>0</v>
      </c>
      <c r="AM133" s="24"/>
      <c r="AN133" s="50"/>
      <c r="AO133" s="60"/>
      <c r="AP133" s="61"/>
      <c r="AQ133" s="60"/>
      <c r="AR133" s="60"/>
      <c r="AS133" s="60"/>
    </row>
    <row r="134" s="1" customFormat="1" ht="111" customHeight="1" outlineLevel="2" spans="1:45">
      <c r="A134" s="25">
        <v>1</v>
      </c>
      <c r="B134" s="22" t="s">
        <v>359</v>
      </c>
      <c r="C134" s="23" t="s">
        <v>360</v>
      </c>
      <c r="D134" s="24" t="s">
        <v>361</v>
      </c>
      <c r="E134" s="27"/>
      <c r="F134" s="27"/>
      <c r="G134" s="25" t="s">
        <v>134</v>
      </c>
      <c r="H134" s="26"/>
      <c r="I134" s="26"/>
      <c r="J134" s="26"/>
      <c r="K134" s="26"/>
      <c r="L134" s="26"/>
      <c r="M134" s="26"/>
      <c r="N134" s="26"/>
      <c r="O134" s="26"/>
      <c r="P134" s="26"/>
      <c r="Q134" s="26"/>
      <c r="R134" s="26"/>
      <c r="S134" s="26"/>
      <c r="T134" s="26"/>
      <c r="U134" s="26"/>
      <c r="V134" s="26"/>
      <c r="W134" s="26"/>
      <c r="X134" s="26">
        <v>2</v>
      </c>
      <c r="Y134" s="26">
        <v>2</v>
      </c>
      <c r="Z134" s="26"/>
      <c r="AA134" s="26"/>
      <c r="AB134" s="26">
        <f t="shared" ref="AB134:AB136" si="68">SUM(H134:AA134)</f>
        <v>4</v>
      </c>
      <c r="AC134" s="46"/>
      <c r="AD134" s="46"/>
      <c r="AE134" s="46"/>
      <c r="AF134" s="26">
        <f>ROUND((AD134+AE134+AC134)*$AF$4,2)</f>
        <v>0</v>
      </c>
      <c r="AG134" s="26">
        <f>ROUND((AD134+AE134+AF134+AC134)*AG$4,2)</f>
        <v>0</v>
      </c>
      <c r="AH134" s="26">
        <f>ROUND((AD134+AE134+AF134+AG134+AC134)*AH$4,2)</f>
        <v>0</v>
      </c>
      <c r="AI134" s="26">
        <f t="shared" ref="AI134:AI136" si="69">ROUND((AD134+AE134+AF134+AG134+AC134),2)</f>
        <v>0</v>
      </c>
      <c r="AJ134" s="26">
        <f t="shared" ref="AJ134:AJ136" si="70">ROUND((AD134+AE134+AF134+AG134+AH134+AC134),2)</f>
        <v>0</v>
      </c>
      <c r="AK134" s="26">
        <f t="shared" ref="AK134:AK136" si="71">ROUND((AI134*AB134),2)</f>
        <v>0</v>
      </c>
      <c r="AL134" s="26">
        <f t="shared" ref="AL134:AL136" si="72">ROUND((AJ134*AB134),2)</f>
        <v>0</v>
      </c>
      <c r="AM134" s="24"/>
      <c r="AN134" s="50"/>
      <c r="AO134" s="60"/>
      <c r="AP134" s="60"/>
      <c r="AQ134" s="60"/>
      <c r="AR134" s="60"/>
      <c r="AS134" s="60"/>
    </row>
    <row r="135" s="1" customFormat="1" ht="121.5" outlineLevel="2" spans="1:45">
      <c r="A135" s="25">
        <v>2</v>
      </c>
      <c r="B135" s="22" t="s">
        <v>362</v>
      </c>
      <c r="C135" s="80" t="s">
        <v>363</v>
      </c>
      <c r="D135" s="24" t="s">
        <v>361</v>
      </c>
      <c r="E135" s="27"/>
      <c r="F135" s="27"/>
      <c r="G135" s="25" t="s">
        <v>134</v>
      </c>
      <c r="H135" s="26"/>
      <c r="I135" s="26"/>
      <c r="J135" s="26"/>
      <c r="K135" s="26"/>
      <c r="L135" s="26"/>
      <c r="M135" s="26"/>
      <c r="N135" s="26"/>
      <c r="O135" s="26"/>
      <c r="P135" s="26"/>
      <c r="Q135" s="26"/>
      <c r="R135" s="26"/>
      <c r="S135" s="26"/>
      <c r="T135" s="26"/>
      <c r="U135" s="26"/>
      <c r="V135" s="26"/>
      <c r="W135" s="26"/>
      <c r="X135" s="26">
        <v>1</v>
      </c>
      <c r="Y135" s="26">
        <v>2</v>
      </c>
      <c r="Z135" s="26"/>
      <c r="AA135" s="26"/>
      <c r="AB135" s="26">
        <f t="shared" si="68"/>
        <v>3</v>
      </c>
      <c r="AC135" s="46"/>
      <c r="AD135" s="46"/>
      <c r="AE135" s="46"/>
      <c r="AF135" s="26">
        <f>ROUND((AD135+AE135+AC135)*$AF$4,2)</f>
        <v>0</v>
      </c>
      <c r="AG135" s="26">
        <f>ROUND((AD135+AE135+AF135+AC135)*AG$4,2)</f>
        <v>0</v>
      </c>
      <c r="AH135" s="26">
        <f>ROUND((AD135+AE135+AF135+AG135+AC135)*AH$4,2)</f>
        <v>0</v>
      </c>
      <c r="AI135" s="26">
        <f t="shared" si="69"/>
        <v>0</v>
      </c>
      <c r="AJ135" s="26">
        <f t="shared" si="70"/>
        <v>0</v>
      </c>
      <c r="AK135" s="26">
        <f t="shared" si="71"/>
        <v>0</v>
      </c>
      <c r="AL135" s="26">
        <f t="shared" si="72"/>
        <v>0</v>
      </c>
      <c r="AM135" s="24"/>
      <c r="AN135" s="50"/>
      <c r="AO135" s="60"/>
      <c r="AP135" s="61"/>
      <c r="AQ135" s="60"/>
      <c r="AR135" s="60"/>
      <c r="AS135" s="60"/>
    </row>
    <row r="136" s="1" customFormat="1" ht="216" outlineLevel="2" spans="1:45">
      <c r="A136" s="25">
        <v>3</v>
      </c>
      <c r="B136" s="22" t="s">
        <v>364</v>
      </c>
      <c r="C136" s="23" t="s">
        <v>365</v>
      </c>
      <c r="D136" s="24" t="s">
        <v>361</v>
      </c>
      <c r="E136" s="27"/>
      <c r="F136" s="27"/>
      <c r="G136" s="25" t="s">
        <v>134</v>
      </c>
      <c r="H136" s="26"/>
      <c r="I136" s="26"/>
      <c r="J136" s="26"/>
      <c r="K136" s="26"/>
      <c r="L136" s="26"/>
      <c r="M136" s="26"/>
      <c r="N136" s="26"/>
      <c r="O136" s="26"/>
      <c r="P136" s="26"/>
      <c r="Q136" s="26"/>
      <c r="R136" s="26"/>
      <c r="S136" s="26"/>
      <c r="T136" s="26"/>
      <c r="U136" s="26"/>
      <c r="V136" s="26"/>
      <c r="W136" s="26"/>
      <c r="X136" s="26">
        <f>X134+X135*2</f>
        <v>4</v>
      </c>
      <c r="Y136" s="26">
        <f>Y134+Y135*2</f>
        <v>6</v>
      </c>
      <c r="Z136" s="26"/>
      <c r="AA136" s="26"/>
      <c r="AB136" s="26">
        <f t="shared" si="68"/>
        <v>10</v>
      </c>
      <c r="AC136" s="46"/>
      <c r="AD136" s="46"/>
      <c r="AE136" s="46"/>
      <c r="AF136" s="26">
        <f>ROUND((AD136+AE136+AC136)*$AF$4,2)</f>
        <v>0</v>
      </c>
      <c r="AG136" s="26">
        <f>ROUND((AD136+AE136+AF136+AC136)*AG$4,2)</f>
        <v>0</v>
      </c>
      <c r="AH136" s="26">
        <f>ROUND((AD136+AE136+AF136+AG136+AC136)*AH$4,2)</f>
        <v>0</v>
      </c>
      <c r="AI136" s="26">
        <f t="shared" si="69"/>
        <v>0</v>
      </c>
      <c r="AJ136" s="26">
        <f t="shared" si="70"/>
        <v>0</v>
      </c>
      <c r="AK136" s="26">
        <f t="shared" si="71"/>
        <v>0</v>
      </c>
      <c r="AL136" s="26">
        <f t="shared" si="72"/>
        <v>0</v>
      </c>
      <c r="AM136" s="24"/>
      <c r="AN136" s="50"/>
      <c r="AO136" s="60"/>
      <c r="AP136" s="64"/>
      <c r="AQ136" s="64"/>
      <c r="AR136" s="64"/>
      <c r="AS136" s="64"/>
    </row>
    <row r="137" s="1" customFormat="1" ht="30" customHeight="1" outlineLevel="1" spans="1:45">
      <c r="A137" s="21" t="s">
        <v>366</v>
      </c>
      <c r="B137" s="22"/>
      <c r="C137" s="22"/>
      <c r="D137" s="24"/>
      <c r="E137" s="25"/>
      <c r="F137" s="25"/>
      <c r="G137" s="25"/>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16">
        <f>SUM(AK138:AK145)</f>
        <v>0</v>
      </c>
      <c r="AL137" s="16">
        <f>SUM(AL138:AL145)</f>
        <v>0</v>
      </c>
      <c r="AM137" s="24"/>
      <c r="AN137" s="50"/>
      <c r="AO137" s="60"/>
      <c r="AP137" s="61"/>
      <c r="AQ137" s="60"/>
      <c r="AR137" s="60"/>
      <c r="AS137" s="60"/>
    </row>
    <row r="138" s="1" customFormat="1" ht="48" customHeight="1" outlineLevel="2" spans="1:45">
      <c r="A138" s="25">
        <v>1</v>
      </c>
      <c r="B138" s="22" t="s">
        <v>367</v>
      </c>
      <c r="C138" s="22" t="s">
        <v>368</v>
      </c>
      <c r="D138" s="24" t="s">
        <v>361</v>
      </c>
      <c r="E138" s="27"/>
      <c r="F138" s="27"/>
      <c r="G138" s="25" t="s">
        <v>134</v>
      </c>
      <c r="H138" s="26">
        <v>4</v>
      </c>
      <c r="I138" s="26">
        <v>3</v>
      </c>
      <c r="J138" s="26">
        <v>3</v>
      </c>
      <c r="K138" s="26">
        <v>4</v>
      </c>
      <c r="L138" s="26">
        <v>4</v>
      </c>
      <c r="M138" s="26">
        <v>4</v>
      </c>
      <c r="N138" s="26">
        <v>4</v>
      </c>
      <c r="O138" s="26">
        <v>3</v>
      </c>
      <c r="P138" s="26">
        <v>3</v>
      </c>
      <c r="Q138" s="26">
        <v>4</v>
      </c>
      <c r="R138" s="26">
        <v>4</v>
      </c>
      <c r="S138" s="26">
        <v>1</v>
      </c>
      <c r="T138" s="26">
        <v>1</v>
      </c>
      <c r="U138" s="26">
        <v>3</v>
      </c>
      <c r="V138" s="26">
        <v>3</v>
      </c>
      <c r="W138" s="26"/>
      <c r="X138" s="26">
        <v>2</v>
      </c>
      <c r="Y138" s="26">
        <v>2</v>
      </c>
      <c r="Z138" s="26"/>
      <c r="AA138" s="26">
        <v>44</v>
      </c>
      <c r="AB138" s="26">
        <f t="shared" ref="AB138:AB142" si="73">SUM(H138:AA138)</f>
        <v>96</v>
      </c>
      <c r="AC138" s="46"/>
      <c r="AD138" s="46"/>
      <c r="AE138" s="46"/>
      <c r="AF138" s="26">
        <f>ROUND((AD138+AE138+AC138)*$AF$4,2)</f>
        <v>0</v>
      </c>
      <c r="AG138" s="26">
        <f>ROUND((AD138+AE138+AF138+AC138)*AG$4,2)</f>
        <v>0</v>
      </c>
      <c r="AH138" s="26">
        <f>ROUND((AD138+AE138+AF138+AG138+AC138)*AH$4,2)</f>
        <v>0</v>
      </c>
      <c r="AI138" s="26">
        <f t="shared" ref="AI138:AI145" si="74">ROUND((AD138+AE138+AF138+AG138+AC138),2)</f>
        <v>0</v>
      </c>
      <c r="AJ138" s="26">
        <f t="shared" ref="AJ138:AJ145" si="75">ROUND((AD138+AE138+AF138+AG138+AH138+AC138),2)</f>
        <v>0</v>
      </c>
      <c r="AK138" s="26">
        <f t="shared" ref="AK138:AK145" si="76">ROUND((AI138*AB138),2)</f>
        <v>0</v>
      </c>
      <c r="AL138" s="26">
        <f t="shared" ref="AL138:AL145" si="77">ROUND((AJ138*AB138),2)</f>
        <v>0</v>
      </c>
      <c r="AM138" s="24"/>
      <c r="AN138" s="50"/>
      <c r="AO138" s="60"/>
      <c r="AP138" s="61"/>
      <c r="AQ138" s="60"/>
      <c r="AR138" s="60"/>
      <c r="AS138" s="60"/>
    </row>
    <row r="139" s="1" customFormat="1" ht="48" customHeight="1" outlineLevel="2" spans="1:45">
      <c r="A139" s="25">
        <v>2</v>
      </c>
      <c r="B139" s="22" t="s">
        <v>271</v>
      </c>
      <c r="C139" s="22" t="s">
        <v>369</v>
      </c>
      <c r="D139" s="24" t="s">
        <v>361</v>
      </c>
      <c r="E139" s="27"/>
      <c r="F139" s="27"/>
      <c r="G139" s="25" t="s">
        <v>191</v>
      </c>
      <c r="H139" s="26">
        <f t="shared" ref="H139:Y139" si="78">H138</f>
        <v>4</v>
      </c>
      <c r="I139" s="26">
        <f t="shared" si="78"/>
        <v>3</v>
      </c>
      <c r="J139" s="26">
        <f t="shared" si="78"/>
        <v>3</v>
      </c>
      <c r="K139" s="26">
        <f t="shared" si="78"/>
        <v>4</v>
      </c>
      <c r="L139" s="26">
        <f t="shared" si="78"/>
        <v>4</v>
      </c>
      <c r="M139" s="26">
        <f t="shared" si="78"/>
        <v>4</v>
      </c>
      <c r="N139" s="26">
        <f t="shared" si="78"/>
        <v>4</v>
      </c>
      <c r="O139" s="26">
        <f t="shared" si="78"/>
        <v>3</v>
      </c>
      <c r="P139" s="26">
        <f t="shared" si="78"/>
        <v>3</v>
      </c>
      <c r="Q139" s="26">
        <f t="shared" si="78"/>
        <v>4</v>
      </c>
      <c r="R139" s="26">
        <f t="shared" si="78"/>
        <v>4</v>
      </c>
      <c r="S139" s="26">
        <f t="shared" si="78"/>
        <v>1</v>
      </c>
      <c r="T139" s="26">
        <f t="shared" si="78"/>
        <v>1</v>
      </c>
      <c r="U139" s="26">
        <f t="shared" si="78"/>
        <v>3</v>
      </c>
      <c r="V139" s="26">
        <f t="shared" si="78"/>
        <v>3</v>
      </c>
      <c r="W139" s="26">
        <f t="shared" si="78"/>
        <v>0</v>
      </c>
      <c r="X139" s="26">
        <f t="shared" si="78"/>
        <v>2</v>
      </c>
      <c r="Y139" s="26">
        <f t="shared" si="78"/>
        <v>2</v>
      </c>
      <c r="Z139" s="26"/>
      <c r="AA139" s="26">
        <f>AA138</f>
        <v>44</v>
      </c>
      <c r="AB139" s="26">
        <f t="shared" si="73"/>
        <v>96</v>
      </c>
      <c r="AC139" s="46"/>
      <c r="AD139" s="46"/>
      <c r="AE139" s="46"/>
      <c r="AF139" s="26">
        <f>ROUND((AD139+AE139+AC139)*$AF$4,2)</f>
        <v>0</v>
      </c>
      <c r="AG139" s="26">
        <f>ROUND((AD139+AE139+AF139+AC139)*AG$4,2)</f>
        <v>0</v>
      </c>
      <c r="AH139" s="26">
        <f>ROUND((AD139+AE139+AF139+AG139+AC139)*AH$4,2)</f>
        <v>0</v>
      </c>
      <c r="AI139" s="26">
        <f t="shared" si="74"/>
        <v>0</v>
      </c>
      <c r="AJ139" s="26">
        <f t="shared" si="75"/>
        <v>0</v>
      </c>
      <c r="AK139" s="26">
        <f t="shared" si="76"/>
        <v>0</v>
      </c>
      <c r="AL139" s="26">
        <f t="shared" si="77"/>
        <v>0</v>
      </c>
      <c r="AM139" s="24"/>
      <c r="AN139" s="50"/>
      <c r="AO139" s="60"/>
      <c r="AP139" s="61"/>
      <c r="AQ139" s="60"/>
      <c r="AR139" s="60"/>
      <c r="AS139" s="60"/>
    </row>
    <row r="140" s="1" customFormat="1" ht="48" customHeight="1" outlineLevel="2" spans="1:45">
      <c r="A140" s="25">
        <v>3</v>
      </c>
      <c r="B140" s="22" t="s">
        <v>370</v>
      </c>
      <c r="C140" s="22" t="s">
        <v>371</v>
      </c>
      <c r="D140" s="24" t="s">
        <v>361</v>
      </c>
      <c r="E140" s="27"/>
      <c r="F140" s="27"/>
      <c r="G140" s="25" t="s">
        <v>146</v>
      </c>
      <c r="H140" s="26">
        <v>2</v>
      </c>
      <c r="I140" s="26">
        <v>2</v>
      </c>
      <c r="J140" s="26">
        <v>2</v>
      </c>
      <c r="K140" s="26">
        <v>2</v>
      </c>
      <c r="L140" s="26">
        <v>2</v>
      </c>
      <c r="M140" s="26">
        <v>2</v>
      </c>
      <c r="N140" s="26">
        <v>2</v>
      </c>
      <c r="O140" s="26">
        <v>2</v>
      </c>
      <c r="P140" s="26">
        <v>2</v>
      </c>
      <c r="Q140" s="26">
        <v>2</v>
      </c>
      <c r="R140" s="26">
        <v>2</v>
      </c>
      <c r="S140" s="26">
        <v>1</v>
      </c>
      <c r="T140" s="26">
        <v>1</v>
      </c>
      <c r="U140" s="26">
        <v>2</v>
      </c>
      <c r="V140" s="26">
        <v>2</v>
      </c>
      <c r="W140" s="26"/>
      <c r="X140" s="26">
        <v>2</v>
      </c>
      <c r="Y140" s="26">
        <v>2</v>
      </c>
      <c r="Z140" s="26"/>
      <c r="AA140" s="26">
        <v>22</v>
      </c>
      <c r="AB140" s="26">
        <f t="shared" si="73"/>
        <v>54</v>
      </c>
      <c r="AC140" s="46"/>
      <c r="AD140" s="46"/>
      <c r="AE140" s="46"/>
      <c r="AF140" s="26">
        <f>ROUND((AD140+AE140+AC140)*$AF$4,2)</f>
        <v>0</v>
      </c>
      <c r="AG140" s="26">
        <f>ROUND((AD140+AE140+AF140+AC140)*AG$4,2)</f>
        <v>0</v>
      </c>
      <c r="AH140" s="26">
        <f>ROUND((AD140+AE140+AF140+AG140+AC140)*AH$4,2)</f>
        <v>0</v>
      </c>
      <c r="AI140" s="26">
        <f t="shared" si="74"/>
        <v>0</v>
      </c>
      <c r="AJ140" s="26">
        <f t="shared" si="75"/>
        <v>0</v>
      </c>
      <c r="AK140" s="26">
        <f t="shared" si="76"/>
        <v>0</v>
      </c>
      <c r="AL140" s="26">
        <f t="shared" si="77"/>
        <v>0</v>
      </c>
      <c r="AM140" s="24"/>
      <c r="AN140" s="50"/>
      <c r="AO140" s="60"/>
      <c r="AP140" s="61"/>
      <c r="AQ140" s="60"/>
      <c r="AR140" s="60"/>
      <c r="AS140" s="60"/>
    </row>
    <row r="141" s="1" customFormat="1" ht="48" customHeight="1" outlineLevel="2" spans="1:45">
      <c r="A141" s="25">
        <v>4</v>
      </c>
      <c r="B141" s="22" t="s">
        <v>372</v>
      </c>
      <c r="C141" s="22" t="s">
        <v>371</v>
      </c>
      <c r="D141" s="24" t="s">
        <v>361</v>
      </c>
      <c r="E141" s="27"/>
      <c r="F141" s="27"/>
      <c r="G141" s="25" t="s">
        <v>146</v>
      </c>
      <c r="H141" s="26">
        <v>2</v>
      </c>
      <c r="I141" s="26">
        <v>1</v>
      </c>
      <c r="J141" s="26">
        <v>1</v>
      </c>
      <c r="K141" s="26">
        <v>2</v>
      </c>
      <c r="L141" s="26">
        <v>2</v>
      </c>
      <c r="M141" s="26">
        <v>2</v>
      </c>
      <c r="N141" s="26">
        <v>2</v>
      </c>
      <c r="O141" s="26">
        <v>1</v>
      </c>
      <c r="P141" s="26">
        <v>1</v>
      </c>
      <c r="Q141" s="26">
        <v>2</v>
      </c>
      <c r="R141" s="26">
        <v>2</v>
      </c>
      <c r="S141" s="26"/>
      <c r="T141" s="26"/>
      <c r="U141" s="26">
        <v>1</v>
      </c>
      <c r="V141" s="26">
        <v>1</v>
      </c>
      <c r="W141" s="26"/>
      <c r="X141" s="26"/>
      <c r="Y141" s="26"/>
      <c r="Z141" s="26"/>
      <c r="AA141" s="26">
        <v>22</v>
      </c>
      <c r="AB141" s="26">
        <f t="shared" si="73"/>
        <v>42</v>
      </c>
      <c r="AC141" s="46"/>
      <c r="AD141" s="46"/>
      <c r="AE141" s="46"/>
      <c r="AF141" s="26">
        <f>ROUND((AD141+AE141+AC141)*$AF$4,2)</f>
        <v>0</v>
      </c>
      <c r="AG141" s="26">
        <f>ROUND((AD141+AE141+AF141+AC141)*AG$4,2)</f>
        <v>0</v>
      </c>
      <c r="AH141" s="26">
        <f>ROUND((AD141+AE141+AF141+AG141+AC141)*AH$4,2)</f>
        <v>0</v>
      </c>
      <c r="AI141" s="26">
        <f t="shared" si="74"/>
        <v>0</v>
      </c>
      <c r="AJ141" s="26">
        <f t="shared" si="75"/>
        <v>0</v>
      </c>
      <c r="AK141" s="26">
        <f t="shared" si="76"/>
        <v>0</v>
      </c>
      <c r="AL141" s="26">
        <f t="shared" si="77"/>
        <v>0</v>
      </c>
      <c r="AM141" s="24"/>
      <c r="AN141" s="50"/>
      <c r="AO141" s="60"/>
      <c r="AP141" s="61"/>
      <c r="AQ141" s="60"/>
      <c r="AR141" s="60"/>
      <c r="AS141" s="60"/>
    </row>
    <row r="142" s="1" customFormat="1" ht="48" customHeight="1" outlineLevel="2" spans="1:45">
      <c r="A142" s="25">
        <v>5</v>
      </c>
      <c r="B142" s="22" t="s">
        <v>373</v>
      </c>
      <c r="C142" s="22" t="s">
        <v>374</v>
      </c>
      <c r="D142" s="24" t="s">
        <v>361</v>
      </c>
      <c r="E142" s="27"/>
      <c r="F142" s="27"/>
      <c r="G142" s="25" t="s">
        <v>146</v>
      </c>
      <c r="H142" s="26">
        <f t="shared" ref="H142:AA142" si="79">H140+H141</f>
        <v>4</v>
      </c>
      <c r="I142" s="26">
        <f t="shared" si="79"/>
        <v>3</v>
      </c>
      <c r="J142" s="26">
        <f t="shared" si="79"/>
        <v>3</v>
      </c>
      <c r="K142" s="26">
        <f t="shared" si="79"/>
        <v>4</v>
      </c>
      <c r="L142" s="26">
        <f t="shared" si="79"/>
        <v>4</v>
      </c>
      <c r="M142" s="26">
        <f t="shared" si="79"/>
        <v>4</v>
      </c>
      <c r="N142" s="26">
        <f t="shared" si="79"/>
        <v>4</v>
      </c>
      <c r="O142" s="26">
        <f t="shared" si="79"/>
        <v>3</v>
      </c>
      <c r="P142" s="26">
        <f t="shared" si="79"/>
        <v>3</v>
      </c>
      <c r="Q142" s="26">
        <f t="shared" si="79"/>
        <v>4</v>
      </c>
      <c r="R142" s="26">
        <f t="shared" si="79"/>
        <v>4</v>
      </c>
      <c r="S142" s="26">
        <f t="shared" si="79"/>
        <v>1</v>
      </c>
      <c r="T142" s="26">
        <f t="shared" si="79"/>
        <v>1</v>
      </c>
      <c r="U142" s="26">
        <f t="shared" si="79"/>
        <v>3</v>
      </c>
      <c r="V142" s="26">
        <f t="shared" si="79"/>
        <v>3</v>
      </c>
      <c r="W142" s="26">
        <f t="shared" si="79"/>
        <v>0</v>
      </c>
      <c r="X142" s="26">
        <f t="shared" si="79"/>
        <v>2</v>
      </c>
      <c r="Y142" s="26">
        <f t="shared" si="79"/>
        <v>2</v>
      </c>
      <c r="Z142" s="26">
        <f t="shared" si="79"/>
        <v>0</v>
      </c>
      <c r="AA142" s="26">
        <f t="shared" si="79"/>
        <v>44</v>
      </c>
      <c r="AB142" s="26">
        <f t="shared" si="73"/>
        <v>96</v>
      </c>
      <c r="AC142" s="46"/>
      <c r="AD142" s="46"/>
      <c r="AE142" s="46"/>
      <c r="AF142" s="26">
        <f>ROUND((AD142+AE142+AC142)*$AF$4,2)</f>
        <v>0</v>
      </c>
      <c r="AG142" s="26">
        <f>ROUND((AD142+AE142+AF142+AC142)*AG$4,2)</f>
        <v>0</v>
      </c>
      <c r="AH142" s="26">
        <f>ROUND((AD142+AE142+AF142+AG142+AC142)*AH$4,2)</f>
        <v>0</v>
      </c>
      <c r="AI142" s="26">
        <f t="shared" si="74"/>
        <v>0</v>
      </c>
      <c r="AJ142" s="26">
        <f t="shared" si="75"/>
        <v>0</v>
      </c>
      <c r="AK142" s="26">
        <f t="shared" si="76"/>
        <v>0</v>
      </c>
      <c r="AL142" s="26">
        <f t="shared" si="77"/>
        <v>0</v>
      </c>
      <c r="AM142" s="24"/>
      <c r="AN142" s="50"/>
      <c r="AO142" s="60"/>
      <c r="AP142" s="61"/>
      <c r="AQ142" s="60"/>
      <c r="AR142" s="60"/>
      <c r="AS142" s="60"/>
    </row>
    <row r="143" s="1" customFormat="1" ht="48" customHeight="1" outlineLevel="2" spans="1:45">
      <c r="A143" s="25">
        <v>6</v>
      </c>
      <c r="B143" s="22" t="s">
        <v>375</v>
      </c>
      <c r="C143" s="23" t="s">
        <v>376</v>
      </c>
      <c r="D143" s="24" t="s">
        <v>361</v>
      </c>
      <c r="E143" s="27"/>
      <c r="F143" s="27"/>
      <c r="G143" s="25" t="s">
        <v>134</v>
      </c>
      <c r="H143" s="26"/>
      <c r="I143" s="26"/>
      <c r="J143" s="26"/>
      <c r="K143" s="26"/>
      <c r="L143" s="26"/>
      <c r="M143" s="26"/>
      <c r="N143" s="26"/>
      <c r="O143" s="26"/>
      <c r="P143" s="26"/>
      <c r="Q143" s="26"/>
      <c r="R143" s="26"/>
      <c r="S143" s="26"/>
      <c r="T143" s="26"/>
      <c r="U143" s="26"/>
      <c r="V143" s="26"/>
      <c r="W143" s="26"/>
      <c r="X143" s="26"/>
      <c r="Y143" s="26"/>
      <c r="Z143" s="26"/>
      <c r="AA143" s="26"/>
      <c r="AB143" s="26">
        <v>1</v>
      </c>
      <c r="AC143" s="46"/>
      <c r="AD143" s="46"/>
      <c r="AE143" s="46"/>
      <c r="AF143" s="26">
        <f>ROUND((AD143+AE143+AC143)*$AF$4,2)</f>
        <v>0</v>
      </c>
      <c r="AG143" s="26">
        <f>ROUND((AD143+AE143+AF143+AC143)*AG$4,2)</f>
        <v>0</v>
      </c>
      <c r="AH143" s="26">
        <f>ROUND((AD143+AE143+AF143+AG143+AC143)*AH$4,2)</f>
        <v>0</v>
      </c>
      <c r="AI143" s="26">
        <f t="shared" si="74"/>
        <v>0</v>
      </c>
      <c r="AJ143" s="26">
        <f t="shared" si="75"/>
        <v>0</v>
      </c>
      <c r="AK143" s="26">
        <f t="shared" si="76"/>
        <v>0</v>
      </c>
      <c r="AL143" s="26">
        <f t="shared" si="77"/>
        <v>0</v>
      </c>
      <c r="AM143" s="24"/>
      <c r="AN143" s="50"/>
      <c r="AO143" s="60"/>
      <c r="AP143" s="61"/>
      <c r="AQ143" s="60"/>
      <c r="AR143" s="60"/>
      <c r="AS143" s="60"/>
    </row>
    <row r="144" s="1" customFormat="1" ht="48" customHeight="1" outlineLevel="2" spans="1:45">
      <c r="A144" s="25">
        <v>7</v>
      </c>
      <c r="B144" s="22" t="s">
        <v>377</v>
      </c>
      <c r="C144" s="23" t="s">
        <v>378</v>
      </c>
      <c r="D144" s="24" t="s">
        <v>361</v>
      </c>
      <c r="E144" s="27"/>
      <c r="F144" s="27"/>
      <c r="G144" s="25" t="s">
        <v>134</v>
      </c>
      <c r="H144" s="26">
        <v>1</v>
      </c>
      <c r="I144" s="26">
        <v>1</v>
      </c>
      <c r="J144" s="26">
        <v>1</v>
      </c>
      <c r="K144" s="26">
        <v>2</v>
      </c>
      <c r="L144" s="26">
        <v>2</v>
      </c>
      <c r="M144" s="26">
        <v>1</v>
      </c>
      <c r="N144" s="26">
        <v>2</v>
      </c>
      <c r="O144" s="26">
        <v>1</v>
      </c>
      <c r="P144" s="26">
        <v>2</v>
      </c>
      <c r="Q144" s="26">
        <v>2</v>
      </c>
      <c r="R144" s="26">
        <v>1</v>
      </c>
      <c r="S144" s="26">
        <v>1</v>
      </c>
      <c r="T144" s="26">
        <v>1</v>
      </c>
      <c r="U144" s="26">
        <v>1</v>
      </c>
      <c r="V144" s="26">
        <v>1</v>
      </c>
      <c r="W144" s="26"/>
      <c r="X144" s="26"/>
      <c r="Y144" s="26"/>
      <c r="Z144" s="26"/>
      <c r="AA144" s="26"/>
      <c r="AB144" s="26">
        <f t="shared" ref="AB144:AB149" si="80">SUM(H144:AA144)</f>
        <v>20</v>
      </c>
      <c r="AC144" s="46"/>
      <c r="AD144" s="46"/>
      <c r="AE144" s="46"/>
      <c r="AF144" s="26">
        <f>ROUND((AD144+AE144+AC144)*$AF$4,2)</f>
        <v>0</v>
      </c>
      <c r="AG144" s="26">
        <f>ROUND((AD144+AE144+AF144+AC144)*AG$4,2)</f>
        <v>0</v>
      </c>
      <c r="AH144" s="26">
        <f>ROUND((AD144+AE144+AF144+AG144+AC144)*AH$4,2)</f>
        <v>0</v>
      </c>
      <c r="AI144" s="26">
        <f t="shared" si="74"/>
        <v>0</v>
      </c>
      <c r="AJ144" s="26">
        <f t="shared" si="75"/>
        <v>0</v>
      </c>
      <c r="AK144" s="26">
        <f t="shared" si="76"/>
        <v>0</v>
      </c>
      <c r="AL144" s="26">
        <f t="shared" si="77"/>
        <v>0</v>
      </c>
      <c r="AM144" s="24"/>
      <c r="AN144" s="50"/>
      <c r="AO144" s="60"/>
      <c r="AP144" s="61"/>
      <c r="AQ144" s="60"/>
      <c r="AR144" s="60"/>
      <c r="AS144" s="60"/>
    </row>
    <row r="145" s="1" customFormat="1" ht="48" customHeight="1" outlineLevel="2" spans="1:45">
      <c r="A145" s="25">
        <v>8</v>
      </c>
      <c r="B145" s="22" t="s">
        <v>379</v>
      </c>
      <c r="C145" s="23" t="s">
        <v>380</v>
      </c>
      <c r="D145" s="24" t="s">
        <v>361</v>
      </c>
      <c r="E145" s="27"/>
      <c r="F145" s="27"/>
      <c r="G145" s="25" t="s">
        <v>134</v>
      </c>
      <c r="H145" s="26">
        <v>1</v>
      </c>
      <c r="I145" s="26">
        <v>1</v>
      </c>
      <c r="J145" s="26">
        <v>1</v>
      </c>
      <c r="K145" s="26">
        <v>1</v>
      </c>
      <c r="L145" s="26">
        <v>1</v>
      </c>
      <c r="M145" s="26">
        <v>1</v>
      </c>
      <c r="N145" s="26"/>
      <c r="O145" s="26">
        <v>1</v>
      </c>
      <c r="P145" s="26"/>
      <c r="Q145" s="26">
        <v>3</v>
      </c>
      <c r="R145" s="26">
        <v>1</v>
      </c>
      <c r="S145" s="26"/>
      <c r="T145" s="26"/>
      <c r="U145" s="26">
        <v>1</v>
      </c>
      <c r="V145" s="26">
        <v>1</v>
      </c>
      <c r="W145" s="26"/>
      <c r="X145" s="26"/>
      <c r="Y145" s="26"/>
      <c r="Z145" s="26"/>
      <c r="AA145" s="26"/>
      <c r="AB145" s="26">
        <f t="shared" si="80"/>
        <v>13</v>
      </c>
      <c r="AC145" s="46"/>
      <c r="AD145" s="46"/>
      <c r="AE145" s="46"/>
      <c r="AF145" s="26">
        <f>ROUND((AD145+AE145+AC145)*$AF$4,2)</f>
        <v>0</v>
      </c>
      <c r="AG145" s="26">
        <f>ROUND((AD145+AE145+AF145+AC145)*AG$4,2)</f>
        <v>0</v>
      </c>
      <c r="AH145" s="26">
        <f>ROUND((AD145+AE145+AF145+AG145+AC145)*AH$4,2)</f>
        <v>0</v>
      </c>
      <c r="AI145" s="26">
        <f t="shared" si="74"/>
        <v>0</v>
      </c>
      <c r="AJ145" s="26">
        <f t="shared" si="75"/>
        <v>0</v>
      </c>
      <c r="AK145" s="26">
        <f t="shared" si="76"/>
        <v>0</v>
      </c>
      <c r="AL145" s="26">
        <f t="shared" si="77"/>
        <v>0</v>
      </c>
      <c r="AM145" s="24"/>
      <c r="AN145" s="50"/>
      <c r="AO145" s="60"/>
      <c r="AP145" s="61"/>
      <c r="AQ145" s="60"/>
      <c r="AR145" s="60"/>
      <c r="AS145" s="60"/>
    </row>
    <row r="146" s="1" customFormat="1" ht="30" customHeight="1" outlineLevel="1" spans="1:45">
      <c r="A146" s="21" t="s">
        <v>381</v>
      </c>
      <c r="B146" s="22"/>
      <c r="C146" s="22"/>
      <c r="D146" s="24"/>
      <c r="E146" s="25"/>
      <c r="F146" s="25"/>
      <c r="G146" s="25"/>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16">
        <f>SUM(AK147:AK155)</f>
        <v>0</v>
      </c>
      <c r="AL146" s="16">
        <f>SUM(AL147:AL155)</f>
        <v>0</v>
      </c>
      <c r="AM146" s="24"/>
      <c r="AN146" s="50"/>
      <c r="AO146" s="60"/>
      <c r="AP146" s="61"/>
      <c r="AQ146" s="60"/>
      <c r="AR146" s="60"/>
      <c r="AS146" s="60"/>
    </row>
    <row r="147" s="1" customFormat="1" ht="48" customHeight="1" outlineLevel="2" spans="1:45">
      <c r="A147" s="25">
        <v>1</v>
      </c>
      <c r="B147" s="23" t="s">
        <v>382</v>
      </c>
      <c r="C147" s="22" t="s">
        <v>216</v>
      </c>
      <c r="D147" s="24" t="s">
        <v>361</v>
      </c>
      <c r="E147" s="27"/>
      <c r="F147" s="27"/>
      <c r="G147" s="25" t="s">
        <v>329</v>
      </c>
      <c r="H147" s="26">
        <f t="shared" ref="H147:Y147" si="81">H148</f>
        <v>2</v>
      </c>
      <c r="I147" s="26">
        <f t="shared" si="81"/>
        <v>2</v>
      </c>
      <c r="J147" s="26">
        <f t="shared" si="81"/>
        <v>2</v>
      </c>
      <c r="K147" s="26">
        <f t="shared" si="81"/>
        <v>3</v>
      </c>
      <c r="L147" s="26">
        <f t="shared" si="81"/>
        <v>3</v>
      </c>
      <c r="M147" s="26">
        <f t="shared" si="81"/>
        <v>2</v>
      </c>
      <c r="N147" s="26">
        <f t="shared" si="81"/>
        <v>2</v>
      </c>
      <c r="O147" s="26">
        <f t="shared" si="81"/>
        <v>2</v>
      </c>
      <c r="P147" s="26">
        <f t="shared" si="81"/>
        <v>2</v>
      </c>
      <c r="Q147" s="26">
        <f t="shared" si="81"/>
        <v>5</v>
      </c>
      <c r="R147" s="26">
        <f t="shared" si="81"/>
        <v>2</v>
      </c>
      <c r="S147" s="26">
        <f t="shared" si="81"/>
        <v>1</v>
      </c>
      <c r="T147" s="26">
        <f t="shared" si="81"/>
        <v>1</v>
      </c>
      <c r="U147" s="26">
        <f t="shared" si="81"/>
        <v>2</v>
      </c>
      <c r="V147" s="26">
        <f t="shared" si="81"/>
        <v>2</v>
      </c>
      <c r="W147" s="26">
        <f t="shared" si="81"/>
        <v>0</v>
      </c>
      <c r="X147" s="26">
        <f t="shared" si="81"/>
        <v>1</v>
      </c>
      <c r="Y147" s="26">
        <f t="shared" si="81"/>
        <v>0</v>
      </c>
      <c r="Z147" s="26"/>
      <c r="AA147" s="26"/>
      <c r="AB147" s="26">
        <f t="shared" si="80"/>
        <v>34</v>
      </c>
      <c r="AC147" s="46"/>
      <c r="AD147" s="46"/>
      <c r="AE147" s="46"/>
      <c r="AF147" s="26">
        <f>ROUND((AD147+AE147+AC147)*$AF$4,2)</f>
        <v>0</v>
      </c>
      <c r="AG147" s="26">
        <f>ROUND((AD147+AE147+AF147+AC147)*AG$4,2)</f>
        <v>0</v>
      </c>
      <c r="AH147" s="26">
        <f>ROUND((AD147+AE147+AF147+AG147+AC147)*AH$4,2)</f>
        <v>0</v>
      </c>
      <c r="AI147" s="26">
        <f t="shared" ref="AI147:AI155" si="82">ROUND((AD147+AE147+AF147+AG147+AC147),2)</f>
        <v>0</v>
      </c>
      <c r="AJ147" s="26">
        <f t="shared" ref="AJ147:AJ155" si="83">ROUND((AD147+AE147+AF147+AG147+AH147+AC147),2)</f>
        <v>0</v>
      </c>
      <c r="AK147" s="26">
        <f t="shared" ref="AK147:AK155" si="84">ROUND((AI147*AB147),2)</f>
        <v>0</v>
      </c>
      <c r="AL147" s="26">
        <f t="shared" ref="AL147:AL155" si="85">ROUND((AJ147*AB147),2)</f>
        <v>0</v>
      </c>
      <c r="AM147" s="24"/>
      <c r="AN147" s="50"/>
      <c r="AO147" s="64"/>
      <c r="AP147" s="65"/>
      <c r="AQ147" s="64"/>
      <c r="AR147" s="64"/>
      <c r="AS147" s="64"/>
    </row>
    <row r="148" s="1" customFormat="1" ht="48" customHeight="1" outlineLevel="2" spans="1:45">
      <c r="A148" s="25">
        <v>2</v>
      </c>
      <c r="B148" s="39" t="s">
        <v>383</v>
      </c>
      <c r="C148" s="39" t="s">
        <v>384</v>
      </c>
      <c r="D148" s="24" t="s">
        <v>361</v>
      </c>
      <c r="E148" s="27"/>
      <c r="F148" s="27"/>
      <c r="G148" s="72" t="s">
        <v>191</v>
      </c>
      <c r="H148" s="26">
        <v>2</v>
      </c>
      <c r="I148" s="26">
        <v>2</v>
      </c>
      <c r="J148" s="26">
        <v>2</v>
      </c>
      <c r="K148" s="26">
        <v>3</v>
      </c>
      <c r="L148" s="26">
        <v>3</v>
      </c>
      <c r="M148" s="26">
        <v>2</v>
      </c>
      <c r="N148" s="26">
        <v>2</v>
      </c>
      <c r="O148" s="26">
        <v>2</v>
      </c>
      <c r="P148" s="26">
        <v>2</v>
      </c>
      <c r="Q148" s="26">
        <v>5</v>
      </c>
      <c r="R148" s="26">
        <v>2</v>
      </c>
      <c r="S148" s="26">
        <v>1</v>
      </c>
      <c r="T148" s="26">
        <v>1</v>
      </c>
      <c r="U148" s="26">
        <v>2</v>
      </c>
      <c r="V148" s="26">
        <v>2</v>
      </c>
      <c r="W148" s="26"/>
      <c r="X148" s="26">
        <v>1</v>
      </c>
      <c r="Y148" s="26"/>
      <c r="Z148" s="26"/>
      <c r="AA148" s="26"/>
      <c r="AB148" s="26">
        <f t="shared" si="80"/>
        <v>34</v>
      </c>
      <c r="AC148" s="46"/>
      <c r="AD148" s="46"/>
      <c r="AE148" s="46"/>
      <c r="AF148" s="26">
        <f>ROUND((AD148+AE148+AC148)*$AF$4,2)</f>
        <v>0</v>
      </c>
      <c r="AG148" s="26">
        <f>ROUND((AD148+AE148+AF148+AC148)*AG$4,2)</f>
        <v>0</v>
      </c>
      <c r="AH148" s="26">
        <f>ROUND((AD148+AE148+AF148+AG148+AC148)*AH$4,2)</f>
        <v>0</v>
      </c>
      <c r="AI148" s="26">
        <f t="shared" si="82"/>
        <v>0</v>
      </c>
      <c r="AJ148" s="26">
        <f t="shared" si="83"/>
        <v>0</v>
      </c>
      <c r="AK148" s="26">
        <f t="shared" si="84"/>
        <v>0</v>
      </c>
      <c r="AL148" s="26">
        <f t="shared" si="85"/>
        <v>0</v>
      </c>
      <c r="AM148" s="24"/>
      <c r="AN148" s="50"/>
      <c r="AO148" s="64"/>
      <c r="AQ148" s="7"/>
      <c r="AR148" s="7"/>
      <c r="AS148" s="7"/>
    </row>
    <row r="149" s="1" customFormat="1" ht="48" customHeight="1" outlineLevel="2" spans="1:45">
      <c r="A149" s="25">
        <v>3</v>
      </c>
      <c r="B149" s="39" t="s">
        <v>385</v>
      </c>
      <c r="C149" s="39" t="s">
        <v>386</v>
      </c>
      <c r="D149" s="34" t="s">
        <v>223</v>
      </c>
      <c r="E149" s="27"/>
      <c r="F149" s="27"/>
      <c r="G149" s="72" t="s">
        <v>191</v>
      </c>
      <c r="H149" s="26">
        <f t="shared" ref="H149:AA149" si="86">H148</f>
        <v>2</v>
      </c>
      <c r="I149" s="26">
        <f t="shared" si="86"/>
        <v>2</v>
      </c>
      <c r="J149" s="26">
        <f t="shared" si="86"/>
        <v>2</v>
      </c>
      <c r="K149" s="26">
        <f t="shared" si="86"/>
        <v>3</v>
      </c>
      <c r="L149" s="26">
        <f t="shared" si="86"/>
        <v>3</v>
      </c>
      <c r="M149" s="26">
        <f t="shared" si="86"/>
        <v>2</v>
      </c>
      <c r="N149" s="26">
        <f t="shared" si="86"/>
        <v>2</v>
      </c>
      <c r="O149" s="26">
        <f t="shared" si="86"/>
        <v>2</v>
      </c>
      <c r="P149" s="26">
        <f t="shared" si="86"/>
        <v>2</v>
      </c>
      <c r="Q149" s="26">
        <f t="shared" si="86"/>
        <v>5</v>
      </c>
      <c r="R149" s="26">
        <f t="shared" si="86"/>
        <v>2</v>
      </c>
      <c r="S149" s="26">
        <f t="shared" si="86"/>
        <v>1</v>
      </c>
      <c r="T149" s="26">
        <f t="shared" si="86"/>
        <v>1</v>
      </c>
      <c r="U149" s="26">
        <f t="shared" si="86"/>
        <v>2</v>
      </c>
      <c r="V149" s="26">
        <f t="shared" si="86"/>
        <v>2</v>
      </c>
      <c r="W149" s="26">
        <f t="shared" si="86"/>
        <v>0</v>
      </c>
      <c r="X149" s="26">
        <f t="shared" si="86"/>
        <v>1</v>
      </c>
      <c r="Y149" s="26">
        <f t="shared" si="86"/>
        <v>0</v>
      </c>
      <c r="Z149" s="26">
        <f t="shared" si="86"/>
        <v>0</v>
      </c>
      <c r="AA149" s="26">
        <f t="shared" si="86"/>
        <v>0</v>
      </c>
      <c r="AB149" s="26">
        <f t="shared" si="80"/>
        <v>34</v>
      </c>
      <c r="AC149" s="46"/>
      <c r="AD149" s="46"/>
      <c r="AE149" s="46"/>
      <c r="AF149" s="26">
        <f>ROUND((AD149+AE149+AC149)*$AF$4,2)</f>
        <v>0</v>
      </c>
      <c r="AG149" s="26">
        <f>ROUND((AD149+AE149+AF149+AC149)*AG$4,2)</f>
        <v>0</v>
      </c>
      <c r="AH149" s="26">
        <f>ROUND((AD149+AE149+AF149+AG149+AC149)*AH$4,2)</f>
        <v>0</v>
      </c>
      <c r="AI149" s="26">
        <f t="shared" si="82"/>
        <v>0</v>
      </c>
      <c r="AJ149" s="26">
        <f t="shared" si="83"/>
        <v>0</v>
      </c>
      <c r="AK149" s="26">
        <f t="shared" si="84"/>
        <v>0</v>
      </c>
      <c r="AL149" s="26">
        <f t="shared" si="85"/>
        <v>0</v>
      </c>
      <c r="AM149" s="24"/>
      <c r="AN149" s="50"/>
      <c r="AO149" s="64"/>
      <c r="AQ149" s="7"/>
      <c r="AR149" s="7"/>
      <c r="AS149" s="7"/>
    </row>
    <row r="150" s="1" customFormat="1" ht="48" customHeight="1" outlineLevel="2" spans="1:45">
      <c r="A150" s="25">
        <v>4</v>
      </c>
      <c r="B150" s="22" t="s">
        <v>286</v>
      </c>
      <c r="C150" s="22" t="s">
        <v>387</v>
      </c>
      <c r="D150" s="24" t="s">
        <v>361</v>
      </c>
      <c r="E150" s="27"/>
      <c r="F150" s="27"/>
      <c r="G150" s="25" t="s">
        <v>134</v>
      </c>
      <c r="H150" s="26"/>
      <c r="I150" s="26"/>
      <c r="J150" s="26"/>
      <c r="K150" s="26"/>
      <c r="L150" s="26"/>
      <c r="M150" s="26"/>
      <c r="N150" s="26"/>
      <c r="O150" s="26"/>
      <c r="P150" s="26"/>
      <c r="Q150" s="26"/>
      <c r="R150" s="26"/>
      <c r="S150" s="26"/>
      <c r="T150" s="26"/>
      <c r="U150" s="26"/>
      <c r="V150" s="26"/>
      <c r="W150" s="26"/>
      <c r="X150" s="26"/>
      <c r="Y150" s="26"/>
      <c r="Z150" s="26"/>
      <c r="AA150" s="26"/>
      <c r="AB150" s="26">
        <v>1</v>
      </c>
      <c r="AC150" s="46"/>
      <c r="AD150" s="46"/>
      <c r="AE150" s="46"/>
      <c r="AF150" s="26">
        <f>ROUND((AD150+AE150+AC150)*$AF$4,2)</f>
        <v>0</v>
      </c>
      <c r="AG150" s="26">
        <f>ROUND((AD150+AE150+AF150+AC150)*AG$4,2)</f>
        <v>0</v>
      </c>
      <c r="AH150" s="26">
        <f>ROUND((AD150+AE150+AF150+AG150+AC150)*AH$4,2)</f>
        <v>0</v>
      </c>
      <c r="AI150" s="26">
        <f t="shared" si="82"/>
        <v>0</v>
      </c>
      <c r="AJ150" s="26">
        <f t="shared" si="83"/>
        <v>0</v>
      </c>
      <c r="AK150" s="26">
        <f t="shared" si="84"/>
        <v>0</v>
      </c>
      <c r="AL150" s="26">
        <f t="shared" si="85"/>
        <v>0</v>
      </c>
      <c r="AM150" s="24"/>
      <c r="AN150" s="50"/>
      <c r="AO150" s="64"/>
      <c r="AP150" s="65"/>
      <c r="AQ150" s="64"/>
      <c r="AR150" s="64"/>
      <c r="AS150" s="64"/>
    </row>
    <row r="151" s="1" customFormat="1" ht="48" customHeight="1" outlineLevel="2" spans="1:45">
      <c r="A151" s="25">
        <v>5</v>
      </c>
      <c r="B151" s="22" t="s">
        <v>221</v>
      </c>
      <c r="C151" s="23" t="s">
        <v>222</v>
      </c>
      <c r="D151" s="24" t="s">
        <v>223</v>
      </c>
      <c r="E151" s="27"/>
      <c r="F151" s="27"/>
      <c r="G151" s="25" t="s">
        <v>146</v>
      </c>
      <c r="H151" s="26"/>
      <c r="I151" s="26"/>
      <c r="J151" s="26"/>
      <c r="K151" s="26"/>
      <c r="L151" s="26"/>
      <c r="M151" s="26"/>
      <c r="N151" s="26"/>
      <c r="O151" s="26"/>
      <c r="P151" s="26"/>
      <c r="Q151" s="26"/>
      <c r="R151" s="26"/>
      <c r="S151" s="26"/>
      <c r="T151" s="26"/>
      <c r="U151" s="26"/>
      <c r="V151" s="26"/>
      <c r="W151" s="26"/>
      <c r="X151" s="26"/>
      <c r="Y151" s="26"/>
      <c r="Z151" s="26"/>
      <c r="AA151" s="26"/>
      <c r="AB151" s="26">
        <v>1</v>
      </c>
      <c r="AC151" s="46"/>
      <c r="AD151" s="46"/>
      <c r="AE151" s="46"/>
      <c r="AF151" s="26">
        <f>ROUND((AD151+AE151+AC151)*$AF$4,2)</f>
        <v>0</v>
      </c>
      <c r="AG151" s="26">
        <f>ROUND((AD151+AE151+AF151+AC151)*AG$4,2)</f>
        <v>0</v>
      </c>
      <c r="AH151" s="26">
        <f>ROUND((AD151+AE151+AF151+AG151+AC151)*AH$4,2)</f>
        <v>0</v>
      </c>
      <c r="AI151" s="26">
        <f t="shared" si="82"/>
        <v>0</v>
      </c>
      <c r="AJ151" s="26">
        <f t="shared" si="83"/>
        <v>0</v>
      </c>
      <c r="AK151" s="26">
        <f t="shared" si="84"/>
        <v>0</v>
      </c>
      <c r="AL151" s="26">
        <f t="shared" si="85"/>
        <v>0</v>
      </c>
      <c r="AM151" s="24"/>
      <c r="AN151" s="50"/>
      <c r="AO151" s="64"/>
      <c r="AP151" s="65"/>
      <c r="AQ151" s="64"/>
      <c r="AR151" s="64"/>
      <c r="AS151" s="64"/>
    </row>
    <row r="152" s="1" customFormat="1" ht="48" customHeight="1" outlineLevel="2" spans="1:45">
      <c r="A152" s="25">
        <v>6</v>
      </c>
      <c r="B152" s="22" t="s">
        <v>388</v>
      </c>
      <c r="C152" s="23" t="s">
        <v>389</v>
      </c>
      <c r="D152" s="24" t="s">
        <v>361</v>
      </c>
      <c r="E152" s="27"/>
      <c r="F152" s="27"/>
      <c r="G152" s="25" t="s">
        <v>134</v>
      </c>
      <c r="H152" s="26"/>
      <c r="I152" s="26"/>
      <c r="J152" s="26"/>
      <c r="K152" s="26"/>
      <c r="L152" s="26"/>
      <c r="M152" s="26"/>
      <c r="N152" s="26"/>
      <c r="O152" s="26"/>
      <c r="P152" s="26"/>
      <c r="Q152" s="26"/>
      <c r="R152" s="26"/>
      <c r="S152" s="26"/>
      <c r="T152" s="26"/>
      <c r="U152" s="26"/>
      <c r="V152" s="26"/>
      <c r="W152" s="26"/>
      <c r="X152" s="26"/>
      <c r="Y152" s="26"/>
      <c r="Z152" s="26"/>
      <c r="AA152" s="26"/>
      <c r="AB152" s="26">
        <v>1</v>
      </c>
      <c r="AC152" s="46"/>
      <c r="AD152" s="46"/>
      <c r="AE152" s="46"/>
      <c r="AF152" s="26">
        <f>ROUND((AD152+AE152+AC152)*$AF$4,2)</f>
        <v>0</v>
      </c>
      <c r="AG152" s="26">
        <f>ROUND((AD152+AE152+AF152+AC152)*AG$4,2)</f>
        <v>0</v>
      </c>
      <c r="AH152" s="26">
        <f>ROUND((AD152+AE152+AF152+AG152+AC152)*AH$4,2)</f>
        <v>0</v>
      </c>
      <c r="AI152" s="26">
        <f t="shared" si="82"/>
        <v>0</v>
      </c>
      <c r="AJ152" s="26">
        <f t="shared" si="83"/>
        <v>0</v>
      </c>
      <c r="AK152" s="26">
        <f t="shared" si="84"/>
        <v>0</v>
      </c>
      <c r="AL152" s="26">
        <f t="shared" si="85"/>
        <v>0</v>
      </c>
      <c r="AM152" s="24"/>
      <c r="AN152" s="50"/>
      <c r="AO152" s="64"/>
      <c r="AP152" s="65"/>
      <c r="AQ152" s="64"/>
      <c r="AR152" s="64"/>
      <c r="AS152" s="64"/>
    </row>
    <row r="153" s="1" customFormat="1" ht="48" customHeight="1" outlineLevel="2" spans="1:45">
      <c r="A153" s="25">
        <v>7</v>
      </c>
      <c r="B153" s="23" t="s">
        <v>314</v>
      </c>
      <c r="C153" s="23" t="s">
        <v>390</v>
      </c>
      <c r="D153" s="24" t="s">
        <v>361</v>
      </c>
      <c r="E153" s="27"/>
      <c r="F153" s="27"/>
      <c r="G153" s="25" t="s">
        <v>146</v>
      </c>
      <c r="H153" s="26"/>
      <c r="I153" s="26"/>
      <c r="J153" s="26"/>
      <c r="K153" s="26"/>
      <c r="L153" s="26"/>
      <c r="M153" s="26"/>
      <c r="N153" s="26"/>
      <c r="O153" s="26"/>
      <c r="P153" s="26"/>
      <c r="Q153" s="26"/>
      <c r="R153" s="26"/>
      <c r="S153" s="26"/>
      <c r="T153" s="26"/>
      <c r="U153" s="26"/>
      <c r="V153" s="26"/>
      <c r="W153" s="26"/>
      <c r="X153" s="26"/>
      <c r="Y153" s="26"/>
      <c r="Z153" s="26"/>
      <c r="AA153" s="26"/>
      <c r="AB153" s="26">
        <v>1</v>
      </c>
      <c r="AC153" s="46"/>
      <c r="AD153" s="46"/>
      <c r="AE153" s="46"/>
      <c r="AF153" s="26">
        <f>ROUND((AD153+AE153+AC153)*$AF$4,2)</f>
        <v>0</v>
      </c>
      <c r="AG153" s="26">
        <f>ROUND((AD153+AE153+AF153+AC153)*AG$4,2)</f>
        <v>0</v>
      </c>
      <c r="AH153" s="26">
        <f>ROUND((AD153+AE153+AF153+AG153+AC153)*AH$4,2)</f>
        <v>0</v>
      </c>
      <c r="AI153" s="26">
        <f t="shared" si="82"/>
        <v>0</v>
      </c>
      <c r="AJ153" s="26">
        <f t="shared" si="83"/>
        <v>0</v>
      </c>
      <c r="AK153" s="26">
        <f t="shared" si="84"/>
        <v>0</v>
      </c>
      <c r="AL153" s="26">
        <f t="shared" si="85"/>
        <v>0</v>
      </c>
      <c r="AM153" s="24"/>
      <c r="AN153" s="50"/>
      <c r="AO153" s="64"/>
      <c r="AP153" s="65"/>
      <c r="AQ153" s="64"/>
      <c r="AR153" s="64"/>
      <c r="AS153" s="64"/>
    </row>
    <row r="154" s="1" customFormat="1" ht="48" customHeight="1" outlineLevel="2" spans="1:45">
      <c r="A154" s="25">
        <v>8</v>
      </c>
      <c r="B154" s="23" t="s">
        <v>391</v>
      </c>
      <c r="C154" s="23" t="s">
        <v>392</v>
      </c>
      <c r="D154" s="24" t="s">
        <v>361</v>
      </c>
      <c r="E154" s="27"/>
      <c r="F154" s="27"/>
      <c r="G154" s="25" t="s">
        <v>146</v>
      </c>
      <c r="H154" s="26"/>
      <c r="I154" s="26"/>
      <c r="J154" s="26"/>
      <c r="K154" s="26"/>
      <c r="L154" s="26"/>
      <c r="M154" s="26"/>
      <c r="N154" s="26"/>
      <c r="O154" s="26"/>
      <c r="P154" s="26"/>
      <c r="Q154" s="26"/>
      <c r="R154" s="26"/>
      <c r="S154" s="26"/>
      <c r="T154" s="26"/>
      <c r="U154" s="26"/>
      <c r="V154" s="26"/>
      <c r="W154" s="26"/>
      <c r="X154" s="26"/>
      <c r="Y154" s="26"/>
      <c r="Z154" s="26"/>
      <c r="AA154" s="26"/>
      <c r="AB154" s="26">
        <v>1</v>
      </c>
      <c r="AC154" s="46"/>
      <c r="AD154" s="46"/>
      <c r="AE154" s="46"/>
      <c r="AF154" s="26">
        <f>ROUND((AD154+AE154+AC154)*$AF$4,2)</f>
        <v>0</v>
      </c>
      <c r="AG154" s="26">
        <f>ROUND((AD154+AE154+AF154+AC154)*AG$4,2)</f>
        <v>0</v>
      </c>
      <c r="AH154" s="26">
        <f>ROUND((AD154+AE154+AF154+AG154+AC154)*AH$4,2)</f>
        <v>0</v>
      </c>
      <c r="AI154" s="26">
        <f t="shared" si="82"/>
        <v>0</v>
      </c>
      <c r="AJ154" s="26">
        <f t="shared" si="83"/>
        <v>0</v>
      </c>
      <c r="AK154" s="26">
        <f t="shared" si="84"/>
        <v>0</v>
      </c>
      <c r="AL154" s="26">
        <f t="shared" si="85"/>
        <v>0</v>
      </c>
      <c r="AM154" s="24"/>
      <c r="AN154" s="50"/>
      <c r="AO154" s="64"/>
      <c r="AP154" s="64"/>
      <c r="AQ154" s="64"/>
      <c r="AR154" s="64"/>
      <c r="AS154" s="64"/>
    </row>
    <row r="155" s="1" customFormat="1" ht="48" outlineLevel="2" spans="1:45">
      <c r="A155" s="25">
        <v>9</v>
      </c>
      <c r="B155" s="23" t="s">
        <v>239</v>
      </c>
      <c r="C155" s="23" t="s">
        <v>393</v>
      </c>
      <c r="D155" s="24" t="s">
        <v>361</v>
      </c>
      <c r="E155" s="27"/>
      <c r="F155" s="27"/>
      <c r="G155" s="25" t="s">
        <v>146</v>
      </c>
      <c r="H155" s="26"/>
      <c r="I155" s="26"/>
      <c r="J155" s="26"/>
      <c r="K155" s="26"/>
      <c r="L155" s="26"/>
      <c r="M155" s="26"/>
      <c r="N155" s="26"/>
      <c r="O155" s="26"/>
      <c r="P155" s="26"/>
      <c r="Q155" s="26"/>
      <c r="R155" s="26"/>
      <c r="S155" s="26"/>
      <c r="T155" s="26"/>
      <c r="U155" s="26"/>
      <c r="V155" s="26"/>
      <c r="W155" s="26"/>
      <c r="X155" s="26"/>
      <c r="Y155" s="26"/>
      <c r="Z155" s="26"/>
      <c r="AA155" s="26"/>
      <c r="AB155" s="26">
        <v>1</v>
      </c>
      <c r="AC155" s="46"/>
      <c r="AD155" s="46"/>
      <c r="AE155" s="46"/>
      <c r="AF155" s="26">
        <f>ROUND((AD155+AE155+AC155)*$AF$4,2)</f>
        <v>0</v>
      </c>
      <c r="AG155" s="26">
        <f>ROUND((AD155+AE155+AF155+AC155)*AG$4,2)</f>
        <v>0</v>
      </c>
      <c r="AH155" s="26">
        <f>ROUND((AD155+AE155+AF155+AG155+AC155)*AH$4,2)</f>
        <v>0</v>
      </c>
      <c r="AI155" s="26">
        <f t="shared" si="82"/>
        <v>0</v>
      </c>
      <c r="AJ155" s="26">
        <f t="shared" si="83"/>
        <v>0</v>
      </c>
      <c r="AK155" s="26">
        <f t="shared" si="84"/>
        <v>0</v>
      </c>
      <c r="AL155" s="26">
        <f t="shared" si="85"/>
        <v>0</v>
      </c>
      <c r="AM155" s="24"/>
      <c r="AN155" s="52"/>
      <c r="AO155" s="64"/>
      <c r="AP155" s="65"/>
      <c r="AQ155" s="64"/>
      <c r="AR155" s="64"/>
      <c r="AS155" s="64"/>
    </row>
    <row r="156" s="1" customFormat="1" ht="30" customHeight="1" outlineLevel="1" spans="1:45">
      <c r="A156" s="21" t="s">
        <v>394</v>
      </c>
      <c r="B156" s="22"/>
      <c r="C156" s="22"/>
      <c r="D156" s="24"/>
      <c r="E156" s="25"/>
      <c r="F156" s="25"/>
      <c r="G156" s="25"/>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16">
        <f>SUM(AK157:AK161)</f>
        <v>0</v>
      </c>
      <c r="AL156" s="16">
        <f>SUM(AL157:AL161)</f>
        <v>0</v>
      </c>
      <c r="AM156" s="24"/>
      <c r="AN156" s="50"/>
      <c r="AO156" s="60"/>
      <c r="AP156" s="61"/>
      <c r="AQ156" s="60"/>
      <c r="AR156" s="60"/>
      <c r="AS156" s="60"/>
    </row>
    <row r="157" s="1" customFormat="1" ht="48" customHeight="1" outlineLevel="2" spans="1:45">
      <c r="A157" s="25">
        <v>1</v>
      </c>
      <c r="B157" s="70" t="s">
        <v>395</v>
      </c>
      <c r="C157" s="39" t="s">
        <v>242</v>
      </c>
      <c r="D157" s="34" t="s">
        <v>162</v>
      </c>
      <c r="E157" s="27"/>
      <c r="F157" s="27"/>
      <c r="G157" s="72" t="s">
        <v>173</v>
      </c>
      <c r="H157" s="26">
        <v>117.037</v>
      </c>
      <c r="I157" s="26">
        <v>128.033</v>
      </c>
      <c r="J157" s="26">
        <v>87.669</v>
      </c>
      <c r="K157" s="26">
        <v>67.478</v>
      </c>
      <c r="L157" s="26">
        <f>K157</f>
        <v>67.478</v>
      </c>
      <c r="M157" s="26">
        <v>108.277</v>
      </c>
      <c r="N157" s="26">
        <v>109.579</v>
      </c>
      <c r="O157" s="26">
        <v>105.652</v>
      </c>
      <c r="P157" s="26">
        <v>94.101</v>
      </c>
      <c r="Q157" s="26">
        <v>129.558</v>
      </c>
      <c r="R157" s="26">
        <v>98.604</v>
      </c>
      <c r="S157" s="26">
        <v>22.907</v>
      </c>
      <c r="T157" s="26">
        <v>28.797</v>
      </c>
      <c r="U157" s="26">
        <v>105.307</v>
      </c>
      <c r="V157" s="26">
        <v>115.431</v>
      </c>
      <c r="W157" s="26"/>
      <c r="X157" s="26">
        <v>20</v>
      </c>
      <c r="Y157" s="26">
        <v>20</v>
      </c>
      <c r="Z157" s="26"/>
      <c r="AA157" s="26">
        <v>868.297</v>
      </c>
      <c r="AB157" s="26">
        <f>SUM(H157:AA157)</f>
        <v>2294.205</v>
      </c>
      <c r="AC157" s="46"/>
      <c r="AD157" s="46"/>
      <c r="AE157" s="46"/>
      <c r="AF157" s="26">
        <f>ROUND((AD157+AE157+AC157)*$AF$4,2)</f>
        <v>0</v>
      </c>
      <c r="AG157" s="26">
        <f>ROUND((AD157+AE157+AF157+AC157)*AG$4,2)</f>
        <v>0</v>
      </c>
      <c r="AH157" s="26">
        <f>ROUND((AD157+AE157+AF157+AG157+AC157)*AH$4,2)</f>
        <v>0</v>
      </c>
      <c r="AI157" s="26">
        <f t="shared" ref="AI157:AI161" si="87">ROUND((AD157+AE157+AF157+AG157+AC157),2)</f>
        <v>0</v>
      </c>
      <c r="AJ157" s="26">
        <f t="shared" ref="AJ157:AJ161" si="88">ROUND((AD157+AE157+AF157+AG157+AH157+AC157),2)</f>
        <v>0</v>
      </c>
      <c r="AK157" s="26">
        <f t="shared" ref="AK157:AK161" si="89">ROUND((AI157*AB157),2)</f>
        <v>0</v>
      </c>
      <c r="AL157" s="26">
        <f t="shared" ref="AL157:AL161" si="90">ROUND((AJ157*AB157),2)</f>
        <v>0</v>
      </c>
      <c r="AM157" s="24"/>
      <c r="AN157" s="52"/>
      <c r="AO157" s="64"/>
      <c r="AQ157" s="7"/>
      <c r="AR157" s="7"/>
      <c r="AS157" s="7"/>
    </row>
    <row r="158" s="1" customFormat="1" ht="48" customHeight="1" outlineLevel="2" spans="1:45">
      <c r="A158" s="25">
        <v>2</v>
      </c>
      <c r="B158" s="23" t="s">
        <v>396</v>
      </c>
      <c r="C158" s="22" t="s">
        <v>397</v>
      </c>
      <c r="D158" s="24" t="s">
        <v>162</v>
      </c>
      <c r="E158" s="27"/>
      <c r="F158" s="27"/>
      <c r="G158" s="25" t="s">
        <v>173</v>
      </c>
      <c r="H158" s="26">
        <v>337.14</v>
      </c>
      <c r="I158" s="26">
        <v>373.212</v>
      </c>
      <c r="J158" s="26">
        <v>284.759</v>
      </c>
      <c r="K158" s="26">
        <v>219.182</v>
      </c>
      <c r="L158" s="26">
        <f>K158</f>
        <v>219.182</v>
      </c>
      <c r="M158" s="26">
        <v>326.167</v>
      </c>
      <c r="N158" s="26">
        <v>327.799</v>
      </c>
      <c r="O158" s="26">
        <v>314.808</v>
      </c>
      <c r="P158" s="26">
        <v>277.652</v>
      </c>
      <c r="Q158" s="26">
        <v>524.59</v>
      </c>
      <c r="R158" s="26">
        <v>288.741</v>
      </c>
      <c r="S158" s="26">
        <v>68.933</v>
      </c>
      <c r="T158" s="26">
        <v>86.598</v>
      </c>
      <c r="U158" s="26">
        <v>330.608</v>
      </c>
      <c r="V158" s="26">
        <v>371.076</v>
      </c>
      <c r="W158" s="26"/>
      <c r="X158" s="26">
        <v>20</v>
      </c>
      <c r="Y158" s="26">
        <v>20</v>
      </c>
      <c r="Z158" s="26"/>
      <c r="AA158" s="26">
        <v>2565.941</v>
      </c>
      <c r="AB158" s="26">
        <f>SUM(H158:AA158)</f>
        <v>6956.388</v>
      </c>
      <c r="AC158" s="46"/>
      <c r="AD158" s="46"/>
      <c r="AE158" s="46"/>
      <c r="AF158" s="26">
        <f>ROUND((AD158+AE158+AC158)*$AF$4,2)</f>
        <v>0</v>
      </c>
      <c r="AG158" s="26">
        <f>ROUND((AD158+AE158+AF158+AC158)*AG$4,2)</f>
        <v>0</v>
      </c>
      <c r="AH158" s="26">
        <f>ROUND((AD158+AE158+AF158+AG158+AC158)*AH$4,2)</f>
        <v>0</v>
      </c>
      <c r="AI158" s="26">
        <f t="shared" si="87"/>
        <v>0</v>
      </c>
      <c r="AJ158" s="26">
        <f t="shared" si="88"/>
        <v>0</v>
      </c>
      <c r="AK158" s="26">
        <f t="shared" si="89"/>
        <v>0</v>
      </c>
      <c r="AL158" s="26">
        <f t="shared" si="90"/>
        <v>0</v>
      </c>
      <c r="AM158" s="24"/>
      <c r="AN158" s="52"/>
      <c r="AO158" s="50"/>
      <c r="AP158" s="61"/>
      <c r="AQ158" s="60"/>
      <c r="AR158" s="60"/>
      <c r="AS158" s="60"/>
    </row>
    <row r="159" s="1" customFormat="1" ht="48" customHeight="1" outlineLevel="2" spans="1:45">
      <c r="A159" s="25">
        <v>3</v>
      </c>
      <c r="B159" s="23" t="s">
        <v>398</v>
      </c>
      <c r="C159" s="22" t="s">
        <v>399</v>
      </c>
      <c r="D159" s="24" t="s">
        <v>162</v>
      </c>
      <c r="E159" s="27"/>
      <c r="F159" s="27"/>
      <c r="G159" s="25" t="s">
        <v>173</v>
      </c>
      <c r="H159" s="26"/>
      <c r="I159" s="26"/>
      <c r="J159" s="26"/>
      <c r="K159" s="26"/>
      <c r="L159" s="26"/>
      <c r="M159" s="26"/>
      <c r="N159" s="26"/>
      <c r="O159" s="26"/>
      <c r="P159" s="26"/>
      <c r="Q159" s="26"/>
      <c r="R159" s="26"/>
      <c r="S159" s="26"/>
      <c r="T159" s="26"/>
      <c r="U159" s="26"/>
      <c r="V159" s="26"/>
      <c r="W159" s="26"/>
      <c r="X159" s="26"/>
      <c r="Y159" s="26"/>
      <c r="Z159" s="26"/>
      <c r="AA159" s="26"/>
      <c r="AB159" s="26">
        <v>400</v>
      </c>
      <c r="AC159" s="46"/>
      <c r="AD159" s="46"/>
      <c r="AE159" s="46"/>
      <c r="AF159" s="26">
        <f>ROUND((AD159+AE159+AC159)*$AF$4,2)</f>
        <v>0</v>
      </c>
      <c r="AG159" s="26">
        <f>ROUND((AD159+AE159+AF159+AC159)*AG$4,2)</f>
        <v>0</v>
      </c>
      <c r="AH159" s="26">
        <f>ROUND((AD159+AE159+AF159+AG159+AC159)*AH$4,2)</f>
        <v>0</v>
      </c>
      <c r="AI159" s="26">
        <f t="shared" si="87"/>
        <v>0</v>
      </c>
      <c r="AJ159" s="26">
        <f t="shared" si="88"/>
        <v>0</v>
      </c>
      <c r="AK159" s="26">
        <f t="shared" si="89"/>
        <v>0</v>
      </c>
      <c r="AL159" s="26">
        <f t="shared" si="90"/>
        <v>0</v>
      </c>
      <c r="AM159" s="24"/>
      <c r="AN159" s="50"/>
      <c r="AO159" s="50"/>
      <c r="AP159" s="61"/>
      <c r="AQ159" s="60"/>
      <c r="AR159" s="60"/>
      <c r="AS159" s="60"/>
    </row>
    <row r="160" s="1" customFormat="1" ht="48" customHeight="1" outlineLevel="2" spans="1:45">
      <c r="A160" s="25">
        <v>4</v>
      </c>
      <c r="B160" s="23" t="s">
        <v>297</v>
      </c>
      <c r="C160" s="22" t="s">
        <v>298</v>
      </c>
      <c r="D160" s="24" t="s">
        <v>162</v>
      </c>
      <c r="E160" s="27"/>
      <c r="F160" s="27"/>
      <c r="G160" s="25" t="s">
        <v>173</v>
      </c>
      <c r="H160" s="26"/>
      <c r="I160" s="26"/>
      <c r="J160" s="26"/>
      <c r="K160" s="26"/>
      <c r="L160" s="26"/>
      <c r="M160" s="26"/>
      <c r="N160" s="26"/>
      <c r="O160" s="26"/>
      <c r="P160" s="26"/>
      <c r="Q160" s="26"/>
      <c r="R160" s="26"/>
      <c r="S160" s="26"/>
      <c r="T160" s="26"/>
      <c r="U160" s="26"/>
      <c r="V160" s="26"/>
      <c r="W160" s="26"/>
      <c r="X160" s="26"/>
      <c r="Y160" s="26"/>
      <c r="Z160" s="26"/>
      <c r="AA160" s="26"/>
      <c r="AB160" s="26">
        <v>6800</v>
      </c>
      <c r="AC160" s="46"/>
      <c r="AD160" s="46"/>
      <c r="AE160" s="46"/>
      <c r="AF160" s="26">
        <f>ROUND((AD160+AE160+AC160)*$AF$4,2)</f>
        <v>0</v>
      </c>
      <c r="AG160" s="26">
        <f>ROUND((AD160+AE160+AF160+AC160)*AG$4,2)</f>
        <v>0</v>
      </c>
      <c r="AH160" s="26">
        <f>ROUND((AD160+AE160+AF160+AG160+AC160)*AH$4,2)</f>
        <v>0</v>
      </c>
      <c r="AI160" s="26">
        <f t="shared" si="87"/>
        <v>0</v>
      </c>
      <c r="AJ160" s="26">
        <f t="shared" si="88"/>
        <v>0</v>
      </c>
      <c r="AK160" s="26">
        <f t="shared" si="89"/>
        <v>0</v>
      </c>
      <c r="AL160" s="26">
        <f t="shared" si="90"/>
        <v>0</v>
      </c>
      <c r="AM160" s="24"/>
      <c r="AN160" s="50"/>
      <c r="AO160" s="50"/>
      <c r="AP160" s="61"/>
      <c r="AQ160" s="60"/>
      <c r="AR160" s="60"/>
      <c r="AS160" s="60"/>
    </row>
    <row r="161" s="1" customFormat="1" ht="48" customHeight="1" outlineLevel="2" spans="1:45">
      <c r="A161" s="25">
        <v>5</v>
      </c>
      <c r="B161" s="23" t="s">
        <v>251</v>
      </c>
      <c r="C161" s="23" t="s">
        <v>252</v>
      </c>
      <c r="D161" s="24" t="s">
        <v>253</v>
      </c>
      <c r="E161" s="35"/>
      <c r="F161" s="35"/>
      <c r="G161" s="25" t="s">
        <v>173</v>
      </c>
      <c r="H161" s="26"/>
      <c r="I161" s="26"/>
      <c r="J161" s="26"/>
      <c r="K161" s="26"/>
      <c r="L161" s="26"/>
      <c r="M161" s="26"/>
      <c r="N161" s="26"/>
      <c r="O161" s="26"/>
      <c r="P161" s="26"/>
      <c r="Q161" s="26"/>
      <c r="R161" s="26"/>
      <c r="S161" s="26"/>
      <c r="T161" s="26"/>
      <c r="U161" s="26"/>
      <c r="V161" s="26"/>
      <c r="W161" s="26"/>
      <c r="X161" s="26"/>
      <c r="Y161" s="26"/>
      <c r="Z161" s="26"/>
      <c r="AA161" s="26"/>
      <c r="AB161" s="26">
        <v>2400</v>
      </c>
      <c r="AC161" s="46"/>
      <c r="AD161" s="46"/>
      <c r="AE161" s="46"/>
      <c r="AF161" s="26">
        <f>ROUND((AD161+AE161+AC161)*$AF$4,2)</f>
        <v>0</v>
      </c>
      <c r="AG161" s="26">
        <f>ROUND((AD161+AE161+AF161+AC161)*AG$4,2)</f>
        <v>0</v>
      </c>
      <c r="AH161" s="26">
        <f>ROUND((AD161+AE161+AF161+AG161+AC161)*AH$4,2)</f>
        <v>0</v>
      </c>
      <c r="AI161" s="26">
        <f t="shared" si="87"/>
        <v>0</v>
      </c>
      <c r="AJ161" s="26">
        <f t="shared" si="88"/>
        <v>0</v>
      </c>
      <c r="AK161" s="26">
        <f t="shared" si="89"/>
        <v>0</v>
      </c>
      <c r="AL161" s="26">
        <f t="shared" si="90"/>
        <v>0</v>
      </c>
      <c r="AM161" s="24"/>
      <c r="AN161" s="50"/>
      <c r="AO161" s="50"/>
      <c r="AP161" s="9"/>
      <c r="AQ161" s="50"/>
      <c r="AR161" s="50"/>
      <c r="AS161" s="50"/>
    </row>
    <row r="162" s="1" customFormat="1" ht="30" customHeight="1" outlineLevel="1" spans="1:45">
      <c r="A162" s="13" t="s">
        <v>176</v>
      </c>
      <c r="B162" s="13" t="s">
        <v>177</v>
      </c>
      <c r="C162" s="21" t="s">
        <v>400</v>
      </c>
      <c r="D162" s="36"/>
      <c r="E162" s="36"/>
      <c r="F162" s="36"/>
      <c r="G162" s="13" t="s">
        <v>179</v>
      </c>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f>AK133+AK137+AK146+AK156</f>
        <v>0</v>
      </c>
      <c r="AL162" s="16">
        <f>AL133+AL137+AL146+AL156</f>
        <v>0</v>
      </c>
      <c r="AM162" s="14"/>
      <c r="AN162" s="50"/>
      <c r="AO162" s="60"/>
      <c r="AP162" s="61"/>
      <c r="AQ162" s="60"/>
      <c r="AR162" s="60"/>
      <c r="AS162" s="60"/>
    </row>
    <row r="163" s="1" customFormat="1" ht="37" customHeight="1" spans="1:45">
      <c r="A163" s="17" t="s">
        <v>401</v>
      </c>
      <c r="B163" s="17"/>
      <c r="C163" s="17"/>
      <c r="D163" s="18"/>
      <c r="E163" s="81"/>
      <c r="F163" s="81"/>
      <c r="G163" s="81"/>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5">
        <f>AK208</f>
        <v>0</v>
      </c>
      <c r="AL163" s="85">
        <f>AL208</f>
        <v>0</v>
      </c>
      <c r="AM163" s="81"/>
      <c r="AN163" s="50"/>
      <c r="AO163" s="60"/>
      <c r="AP163" s="61"/>
      <c r="AQ163" s="60"/>
      <c r="AR163" s="60"/>
      <c r="AS163" s="60"/>
    </row>
    <row r="164" s="1" customFormat="1" ht="30" customHeight="1" outlineLevel="1" spans="1:45">
      <c r="A164" s="21" t="s">
        <v>402</v>
      </c>
      <c r="B164" s="22"/>
      <c r="C164" s="22"/>
      <c r="D164" s="24"/>
      <c r="E164" s="25"/>
      <c r="F164" s="25"/>
      <c r="G164" s="25"/>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16">
        <f>SUM(AK165:AK178)</f>
        <v>0</v>
      </c>
      <c r="AL164" s="16">
        <f>SUM(AL165:AL178)</f>
        <v>0</v>
      </c>
      <c r="AM164" s="25"/>
      <c r="AN164" s="86"/>
      <c r="AO164" s="64"/>
      <c r="AP164" s="64"/>
      <c r="AQ164" s="64"/>
      <c r="AR164" s="64"/>
      <c r="AS164" s="64"/>
    </row>
    <row r="165" s="3" customFormat="1" ht="295" customHeight="1" outlineLevel="2" spans="1:45">
      <c r="A165" s="28">
        <v>1</v>
      </c>
      <c r="B165" s="30" t="s">
        <v>403</v>
      </c>
      <c r="C165" s="30" t="s">
        <v>404</v>
      </c>
      <c r="D165" s="31" t="s">
        <v>361</v>
      </c>
      <c r="E165" s="32"/>
      <c r="F165" s="32"/>
      <c r="G165" s="28" t="s">
        <v>146</v>
      </c>
      <c r="H165" s="33"/>
      <c r="I165" s="33"/>
      <c r="J165" s="33"/>
      <c r="K165" s="33"/>
      <c r="L165" s="33"/>
      <c r="M165" s="33"/>
      <c r="N165" s="33"/>
      <c r="O165" s="33"/>
      <c r="P165" s="33"/>
      <c r="Q165" s="33"/>
      <c r="R165" s="33"/>
      <c r="S165" s="33"/>
      <c r="T165" s="33"/>
      <c r="U165" s="33"/>
      <c r="V165" s="33"/>
      <c r="W165" s="33"/>
      <c r="X165" s="33"/>
      <c r="Y165" s="33"/>
      <c r="Z165" s="33">
        <v>14</v>
      </c>
      <c r="AA165" s="33"/>
      <c r="AB165" s="33">
        <f t="shared" ref="AB165:AB178" si="91">SUM(H165:AA165)</f>
        <v>14</v>
      </c>
      <c r="AC165" s="47"/>
      <c r="AD165" s="47"/>
      <c r="AE165" s="47"/>
      <c r="AF165" s="33">
        <f>ROUND((AD165+AE165+AC165)*$AF$4,2)</f>
        <v>0</v>
      </c>
      <c r="AG165" s="33">
        <f>ROUND((AD165+AE165+AF165+AC165)*AG$4,2)</f>
        <v>0</v>
      </c>
      <c r="AH165" s="33">
        <f>ROUND((AD165+AE165+AF165+AG165+AC165)*AH$4,2)</f>
        <v>0</v>
      </c>
      <c r="AI165" s="33">
        <f t="shared" ref="AI165:AI178" si="92">ROUND((AD165+AE165+AF165+AG165+AC165),2)</f>
        <v>0</v>
      </c>
      <c r="AJ165" s="33">
        <f t="shared" ref="AJ165:AJ178" si="93">ROUND((AD165+AE165+AF165+AG165+AH165+AC165),2)</f>
        <v>0</v>
      </c>
      <c r="AK165" s="33">
        <f t="shared" ref="AK165:AK178" si="94">ROUND((AI165*AB165),2)</f>
        <v>0</v>
      </c>
      <c r="AL165" s="33">
        <f t="shared" ref="AL165:AL178" si="95">ROUND((AJ165*AB165),2)</f>
        <v>0</v>
      </c>
      <c r="AM165" s="28"/>
      <c r="AN165" s="87"/>
      <c r="AO165" s="88"/>
      <c r="AP165" s="67"/>
      <c r="AQ165" s="67"/>
      <c r="AR165" s="67"/>
      <c r="AS165" s="67"/>
    </row>
    <row r="166" s="1" customFormat="1" ht="48" customHeight="1" outlineLevel="2" spans="1:45">
      <c r="A166" s="25">
        <v>2</v>
      </c>
      <c r="B166" s="22" t="s">
        <v>405</v>
      </c>
      <c r="C166" s="23" t="s">
        <v>406</v>
      </c>
      <c r="D166" s="24" t="s">
        <v>361</v>
      </c>
      <c r="E166" s="27"/>
      <c r="F166" s="27"/>
      <c r="G166" s="25" t="s">
        <v>146</v>
      </c>
      <c r="H166" s="26"/>
      <c r="I166" s="26"/>
      <c r="J166" s="26"/>
      <c r="K166" s="26"/>
      <c r="L166" s="26"/>
      <c r="M166" s="26"/>
      <c r="N166" s="26"/>
      <c r="O166" s="26"/>
      <c r="P166" s="26"/>
      <c r="Q166" s="26"/>
      <c r="R166" s="26"/>
      <c r="S166" s="26"/>
      <c r="T166" s="26"/>
      <c r="U166" s="26"/>
      <c r="V166" s="26"/>
      <c r="W166" s="26"/>
      <c r="X166" s="26"/>
      <c r="Y166" s="26"/>
      <c r="Z166" s="26">
        <v>5</v>
      </c>
      <c r="AA166" s="26"/>
      <c r="AB166" s="26">
        <f t="shared" si="91"/>
        <v>5</v>
      </c>
      <c r="AC166" s="46"/>
      <c r="AD166" s="46"/>
      <c r="AE166" s="46"/>
      <c r="AF166" s="26">
        <f>ROUND((AD166+AE166+AC166)*$AF$4,2)</f>
        <v>0</v>
      </c>
      <c r="AG166" s="26">
        <f>ROUND((AD166+AE166+AF166+AC166)*AG$4,2)</f>
        <v>0</v>
      </c>
      <c r="AH166" s="26">
        <f>ROUND((AD166+AE166+AF166+AG166+AC166)*AH$4,2)</f>
        <v>0</v>
      </c>
      <c r="AI166" s="26">
        <f t="shared" si="92"/>
        <v>0</v>
      </c>
      <c r="AJ166" s="26">
        <f t="shared" si="93"/>
        <v>0</v>
      </c>
      <c r="AK166" s="26">
        <f t="shared" si="94"/>
        <v>0</v>
      </c>
      <c r="AL166" s="26">
        <f t="shared" si="95"/>
        <v>0</v>
      </c>
      <c r="AM166" s="25"/>
      <c r="AN166" s="50"/>
      <c r="AO166" s="89"/>
      <c r="AP166" s="64"/>
      <c r="AQ166" s="64"/>
      <c r="AR166" s="64"/>
      <c r="AS166" s="64"/>
    </row>
    <row r="167" s="1" customFormat="1" ht="48" customHeight="1" outlineLevel="2" spans="1:45">
      <c r="A167" s="25">
        <v>3</v>
      </c>
      <c r="B167" s="22" t="s">
        <v>407</v>
      </c>
      <c r="C167" s="23" t="s">
        <v>406</v>
      </c>
      <c r="D167" s="24" t="s">
        <v>361</v>
      </c>
      <c r="E167" s="27"/>
      <c r="F167" s="27"/>
      <c r="G167" s="25" t="s">
        <v>146</v>
      </c>
      <c r="H167" s="26"/>
      <c r="I167" s="26"/>
      <c r="J167" s="26"/>
      <c r="K167" s="26"/>
      <c r="L167" s="26"/>
      <c r="M167" s="26"/>
      <c r="N167" s="26"/>
      <c r="O167" s="26"/>
      <c r="P167" s="26"/>
      <c r="Q167" s="26"/>
      <c r="R167" s="26"/>
      <c r="S167" s="26"/>
      <c r="T167" s="26"/>
      <c r="U167" s="26"/>
      <c r="V167" s="26"/>
      <c r="W167" s="26"/>
      <c r="X167" s="26"/>
      <c r="Y167" s="26"/>
      <c r="Z167" s="26">
        <v>4</v>
      </c>
      <c r="AA167" s="26"/>
      <c r="AB167" s="26">
        <f t="shared" si="91"/>
        <v>4</v>
      </c>
      <c r="AC167" s="46"/>
      <c r="AD167" s="46"/>
      <c r="AE167" s="46"/>
      <c r="AF167" s="26">
        <f>ROUND((AD167+AE167+AC167)*$AF$4,2)</f>
        <v>0</v>
      </c>
      <c r="AG167" s="26">
        <f>ROUND((AD167+AE167+AF167+AC167)*AG$4,2)</f>
        <v>0</v>
      </c>
      <c r="AH167" s="26">
        <f>ROUND((AD167+AE167+AF167+AG167+AC167)*AH$4,2)</f>
        <v>0</v>
      </c>
      <c r="AI167" s="26">
        <f t="shared" si="92"/>
        <v>0</v>
      </c>
      <c r="AJ167" s="26">
        <f t="shared" si="93"/>
        <v>0</v>
      </c>
      <c r="AK167" s="26">
        <f t="shared" si="94"/>
        <v>0</v>
      </c>
      <c r="AL167" s="26">
        <f t="shared" si="95"/>
        <v>0</v>
      </c>
      <c r="AM167" s="23"/>
      <c r="AN167" s="52"/>
      <c r="AO167" s="89"/>
      <c r="AP167" s="64"/>
      <c r="AQ167" s="64"/>
      <c r="AR167" s="64"/>
      <c r="AS167" s="64"/>
    </row>
    <row r="168" s="1" customFormat="1" ht="54" outlineLevel="2" spans="1:45">
      <c r="A168" s="25">
        <v>4</v>
      </c>
      <c r="B168" s="22" t="s">
        <v>408</v>
      </c>
      <c r="C168" s="80" t="s">
        <v>409</v>
      </c>
      <c r="D168" s="24" t="s">
        <v>361</v>
      </c>
      <c r="E168" s="27"/>
      <c r="F168" s="27"/>
      <c r="G168" s="25" t="s">
        <v>146</v>
      </c>
      <c r="H168" s="26"/>
      <c r="I168" s="26"/>
      <c r="J168" s="26"/>
      <c r="K168" s="26"/>
      <c r="L168" s="26"/>
      <c r="M168" s="26"/>
      <c r="N168" s="26"/>
      <c r="O168" s="26"/>
      <c r="P168" s="26"/>
      <c r="Q168" s="26"/>
      <c r="R168" s="26"/>
      <c r="S168" s="26"/>
      <c r="T168" s="26"/>
      <c r="U168" s="26"/>
      <c r="V168" s="26"/>
      <c r="W168" s="26"/>
      <c r="X168" s="26"/>
      <c r="Y168" s="26"/>
      <c r="Z168" s="26">
        <f>Z165</f>
        <v>14</v>
      </c>
      <c r="AA168" s="26"/>
      <c r="AB168" s="26">
        <f t="shared" si="91"/>
        <v>14</v>
      </c>
      <c r="AC168" s="46"/>
      <c r="AD168" s="46"/>
      <c r="AE168" s="46"/>
      <c r="AF168" s="26">
        <f>ROUND((AD168+AE168+AC168)*$AF$4,2)</f>
        <v>0</v>
      </c>
      <c r="AG168" s="26">
        <f>ROUND((AD168+AE168+AF168+AC168)*AG$4,2)</f>
        <v>0</v>
      </c>
      <c r="AH168" s="26">
        <f>ROUND((AD168+AE168+AF168+AG168+AC168)*AH$4,2)</f>
        <v>0</v>
      </c>
      <c r="AI168" s="26">
        <f t="shared" si="92"/>
        <v>0</v>
      </c>
      <c r="AJ168" s="26">
        <f t="shared" si="93"/>
        <v>0</v>
      </c>
      <c r="AK168" s="26">
        <f t="shared" si="94"/>
        <v>0</v>
      </c>
      <c r="AL168" s="26">
        <f t="shared" si="95"/>
        <v>0</v>
      </c>
      <c r="AM168" s="25"/>
      <c r="AN168" s="52"/>
      <c r="AO168" s="64"/>
      <c r="AP168" s="64"/>
      <c r="AQ168" s="64"/>
      <c r="AR168" s="64"/>
      <c r="AS168" s="64"/>
    </row>
    <row r="169" s="3" customFormat="1" ht="84" outlineLevel="2" spans="1:45">
      <c r="A169" s="28">
        <v>5</v>
      </c>
      <c r="B169" s="30" t="s">
        <v>410</v>
      </c>
      <c r="C169" s="30" t="s">
        <v>411</v>
      </c>
      <c r="D169" s="31" t="s">
        <v>361</v>
      </c>
      <c r="E169" s="32"/>
      <c r="F169" s="32"/>
      <c r="G169" s="28" t="s">
        <v>134</v>
      </c>
      <c r="H169" s="33"/>
      <c r="I169" s="33"/>
      <c r="J169" s="33"/>
      <c r="K169" s="33"/>
      <c r="L169" s="33"/>
      <c r="M169" s="33"/>
      <c r="N169" s="33"/>
      <c r="O169" s="33"/>
      <c r="P169" s="33"/>
      <c r="Q169" s="33"/>
      <c r="R169" s="33"/>
      <c r="S169" s="33"/>
      <c r="T169" s="33"/>
      <c r="U169" s="33"/>
      <c r="V169" s="33"/>
      <c r="W169" s="33"/>
      <c r="X169" s="33"/>
      <c r="Y169" s="33"/>
      <c r="Z169" s="33">
        <v>4</v>
      </c>
      <c r="AA169" s="33"/>
      <c r="AB169" s="33">
        <f t="shared" si="91"/>
        <v>4</v>
      </c>
      <c r="AC169" s="47"/>
      <c r="AD169" s="47"/>
      <c r="AE169" s="47"/>
      <c r="AF169" s="33">
        <f>ROUND((AD169+AE169+AC169)*$AF$4,2)</f>
        <v>0</v>
      </c>
      <c r="AG169" s="33">
        <f>ROUND((AD169+AE169+AF169+AC169)*AG$4,2)</f>
        <v>0</v>
      </c>
      <c r="AH169" s="33">
        <f>ROUND((AD169+AE169+AF169+AG169+AC169)*AH$4,2)</f>
        <v>0</v>
      </c>
      <c r="AI169" s="33">
        <f t="shared" si="92"/>
        <v>0</v>
      </c>
      <c r="AJ169" s="33">
        <f t="shared" si="93"/>
        <v>0</v>
      </c>
      <c r="AK169" s="33">
        <f t="shared" si="94"/>
        <v>0</v>
      </c>
      <c r="AL169" s="33">
        <f t="shared" si="95"/>
        <v>0</v>
      </c>
      <c r="AM169" s="28"/>
      <c r="AN169" s="53"/>
      <c r="AO169" s="88"/>
      <c r="AP169" s="67"/>
      <c r="AQ169" s="67"/>
      <c r="AR169" s="67"/>
      <c r="AS169" s="67"/>
    </row>
    <row r="170" s="3" customFormat="1" ht="108" outlineLevel="2" spans="1:45">
      <c r="A170" s="28">
        <v>6</v>
      </c>
      <c r="B170" s="30" t="s">
        <v>412</v>
      </c>
      <c r="C170" s="30" t="s">
        <v>413</v>
      </c>
      <c r="D170" s="31" t="s">
        <v>361</v>
      </c>
      <c r="E170" s="32"/>
      <c r="F170" s="32"/>
      <c r="G170" s="28" t="s">
        <v>146</v>
      </c>
      <c r="H170" s="33"/>
      <c r="I170" s="33"/>
      <c r="J170" s="33"/>
      <c r="K170" s="33"/>
      <c r="L170" s="33"/>
      <c r="M170" s="33"/>
      <c r="N170" s="33"/>
      <c r="O170" s="33"/>
      <c r="P170" s="33"/>
      <c r="Q170" s="33"/>
      <c r="R170" s="33"/>
      <c r="S170" s="33"/>
      <c r="T170" s="33"/>
      <c r="U170" s="33"/>
      <c r="V170" s="33"/>
      <c r="W170" s="33"/>
      <c r="X170" s="33"/>
      <c r="Y170" s="33"/>
      <c r="Z170" s="33">
        <v>4</v>
      </c>
      <c r="AA170" s="33"/>
      <c r="AB170" s="33">
        <f t="shared" si="91"/>
        <v>4</v>
      </c>
      <c r="AC170" s="47"/>
      <c r="AD170" s="47"/>
      <c r="AE170" s="47"/>
      <c r="AF170" s="33">
        <f>ROUND((AD170+AE170+AC170)*$AF$4,2)</f>
        <v>0</v>
      </c>
      <c r="AG170" s="33">
        <f>ROUND((AD170+AE170+AF170+AC170)*AG$4,2)</f>
        <v>0</v>
      </c>
      <c r="AH170" s="33">
        <f>ROUND((AD170+AE170+AF170+AG170+AC170)*AH$4,2)</f>
        <v>0</v>
      </c>
      <c r="AI170" s="33">
        <f t="shared" si="92"/>
        <v>0</v>
      </c>
      <c r="AJ170" s="33">
        <f t="shared" si="93"/>
        <v>0</v>
      </c>
      <c r="AK170" s="33">
        <f t="shared" si="94"/>
        <v>0</v>
      </c>
      <c r="AL170" s="33">
        <f t="shared" si="95"/>
        <v>0</v>
      </c>
      <c r="AM170" s="28"/>
      <c r="AN170" s="53"/>
      <c r="AO170" s="88"/>
      <c r="AP170" s="67"/>
      <c r="AQ170" s="67"/>
      <c r="AR170" s="67"/>
      <c r="AS170" s="67"/>
    </row>
    <row r="171" s="3" customFormat="1" ht="60" outlineLevel="2" spans="1:45">
      <c r="A171" s="28">
        <v>8</v>
      </c>
      <c r="B171" s="30" t="s">
        <v>414</v>
      </c>
      <c r="C171" s="30" t="s">
        <v>415</v>
      </c>
      <c r="D171" s="31" t="s">
        <v>361</v>
      </c>
      <c r="E171" s="32"/>
      <c r="F171" s="32"/>
      <c r="G171" s="28" t="s">
        <v>146</v>
      </c>
      <c r="H171" s="33"/>
      <c r="I171" s="33"/>
      <c r="J171" s="33"/>
      <c r="K171" s="33"/>
      <c r="L171" s="33"/>
      <c r="M171" s="33"/>
      <c r="N171" s="33"/>
      <c r="O171" s="33"/>
      <c r="P171" s="33"/>
      <c r="Q171" s="33"/>
      <c r="R171" s="33"/>
      <c r="S171" s="33"/>
      <c r="T171" s="33"/>
      <c r="U171" s="33"/>
      <c r="V171" s="33"/>
      <c r="W171" s="33"/>
      <c r="X171" s="33"/>
      <c r="Y171" s="33"/>
      <c r="Z171" s="33">
        <f>Z166+Z167</f>
        <v>9</v>
      </c>
      <c r="AA171" s="33"/>
      <c r="AB171" s="33">
        <f t="shared" si="91"/>
        <v>9</v>
      </c>
      <c r="AC171" s="47"/>
      <c r="AD171" s="47"/>
      <c r="AE171" s="47"/>
      <c r="AF171" s="33">
        <f>ROUND((AD171+AE171+AC171)*$AF$4,2)</f>
        <v>0</v>
      </c>
      <c r="AG171" s="33">
        <f>ROUND((AD171+AE171+AF171+AC171)*AG$4,2)</f>
        <v>0</v>
      </c>
      <c r="AH171" s="33">
        <f>ROUND((AD171+AE171+AF171+AG171+AC171)*AH$4,2)</f>
        <v>0</v>
      </c>
      <c r="AI171" s="33">
        <f t="shared" si="92"/>
        <v>0</v>
      </c>
      <c r="AJ171" s="33">
        <f t="shared" si="93"/>
        <v>0</v>
      </c>
      <c r="AK171" s="33">
        <f t="shared" si="94"/>
        <v>0</v>
      </c>
      <c r="AL171" s="33">
        <f t="shared" si="95"/>
        <v>0</v>
      </c>
      <c r="AM171" s="28"/>
      <c r="AN171" s="53"/>
      <c r="AO171" s="67"/>
      <c r="AP171" s="67"/>
      <c r="AQ171" s="67"/>
      <c r="AR171" s="67"/>
      <c r="AS171" s="67"/>
    </row>
    <row r="172" s="3" customFormat="1" ht="48" customHeight="1" outlineLevel="2" spans="1:45">
      <c r="A172" s="28">
        <v>9</v>
      </c>
      <c r="B172" s="30" t="s">
        <v>416</v>
      </c>
      <c r="C172" s="29" t="s">
        <v>417</v>
      </c>
      <c r="D172" s="31" t="s">
        <v>361</v>
      </c>
      <c r="E172" s="32"/>
      <c r="F172" s="32"/>
      <c r="G172" s="28" t="s">
        <v>191</v>
      </c>
      <c r="H172" s="33"/>
      <c r="I172" s="33"/>
      <c r="J172" s="33"/>
      <c r="K172" s="33"/>
      <c r="L172" s="33"/>
      <c r="M172" s="33"/>
      <c r="N172" s="33"/>
      <c r="O172" s="33"/>
      <c r="P172" s="33"/>
      <c r="Q172" s="33"/>
      <c r="R172" s="33"/>
      <c r="S172" s="33"/>
      <c r="T172" s="33"/>
      <c r="U172" s="33"/>
      <c r="V172" s="33"/>
      <c r="W172" s="33"/>
      <c r="X172" s="33"/>
      <c r="Y172" s="33"/>
      <c r="Z172" s="33">
        <f>Z171</f>
        <v>9</v>
      </c>
      <c r="AA172" s="33"/>
      <c r="AB172" s="33">
        <f t="shared" si="91"/>
        <v>9</v>
      </c>
      <c r="AC172" s="47"/>
      <c r="AD172" s="47"/>
      <c r="AE172" s="47"/>
      <c r="AF172" s="33">
        <f>ROUND((AD172+AE172+AC172)*$AF$4,2)</f>
        <v>0</v>
      </c>
      <c r="AG172" s="33">
        <f>ROUND((AD172+AE172+AF172+AC172)*AG$4,2)</f>
        <v>0</v>
      </c>
      <c r="AH172" s="33">
        <f>ROUND((AD172+AE172+AF172+AG172+AC172)*AH$4,2)</f>
        <v>0</v>
      </c>
      <c r="AI172" s="33">
        <f t="shared" si="92"/>
        <v>0</v>
      </c>
      <c r="AJ172" s="33">
        <f t="shared" si="93"/>
        <v>0</v>
      </c>
      <c r="AK172" s="33">
        <f t="shared" si="94"/>
        <v>0</v>
      </c>
      <c r="AL172" s="33">
        <f t="shared" si="95"/>
        <v>0</v>
      </c>
      <c r="AM172" s="28"/>
      <c r="AN172" s="53"/>
      <c r="AO172" s="67"/>
      <c r="AP172" s="67"/>
      <c r="AQ172" s="67"/>
      <c r="AR172" s="67"/>
      <c r="AS172" s="67"/>
    </row>
    <row r="173" s="3" customFormat="1" ht="48" customHeight="1" outlineLevel="2" spans="1:45">
      <c r="A173" s="28">
        <v>6</v>
      </c>
      <c r="B173" s="30" t="s">
        <v>418</v>
      </c>
      <c r="C173" s="30" t="s">
        <v>419</v>
      </c>
      <c r="D173" s="31" t="s">
        <v>361</v>
      </c>
      <c r="E173" s="32"/>
      <c r="F173" s="32"/>
      <c r="G173" s="28" t="s">
        <v>146</v>
      </c>
      <c r="H173" s="33"/>
      <c r="I173" s="33"/>
      <c r="J173" s="33"/>
      <c r="K173" s="33"/>
      <c r="L173" s="33"/>
      <c r="M173" s="33"/>
      <c r="N173" s="33"/>
      <c r="O173" s="33"/>
      <c r="P173" s="33"/>
      <c r="Q173" s="33"/>
      <c r="R173" s="33"/>
      <c r="S173" s="33"/>
      <c r="T173" s="33"/>
      <c r="U173" s="33"/>
      <c r="V173" s="33"/>
      <c r="W173" s="33"/>
      <c r="X173" s="33"/>
      <c r="Y173" s="33"/>
      <c r="Z173" s="33">
        <f>Z171</f>
        <v>9</v>
      </c>
      <c r="AA173" s="33"/>
      <c r="AB173" s="33">
        <f t="shared" si="91"/>
        <v>9</v>
      </c>
      <c r="AC173" s="47"/>
      <c r="AD173" s="47"/>
      <c r="AE173" s="47"/>
      <c r="AF173" s="33">
        <f>ROUND((AD173+AE173+AC173)*$AF$4,2)</f>
        <v>0</v>
      </c>
      <c r="AG173" s="33">
        <f>ROUND((AD173+AE173+AF173+AC173)*AG$4,2)</f>
        <v>0</v>
      </c>
      <c r="AH173" s="33">
        <f>ROUND((AD173+AE173+AF173+AG173+AC173)*AH$4,2)</f>
        <v>0</v>
      </c>
      <c r="AI173" s="33">
        <f t="shared" si="92"/>
        <v>0</v>
      </c>
      <c r="AJ173" s="33">
        <f t="shared" si="93"/>
        <v>0</v>
      </c>
      <c r="AK173" s="33">
        <f t="shared" si="94"/>
        <v>0</v>
      </c>
      <c r="AL173" s="33">
        <f t="shared" si="95"/>
        <v>0</v>
      </c>
      <c r="AM173" s="28"/>
      <c r="AN173" s="53"/>
      <c r="AO173" s="88"/>
      <c r="AP173" s="67"/>
      <c r="AQ173" s="67"/>
      <c r="AR173" s="67"/>
      <c r="AS173" s="67"/>
    </row>
    <row r="174" s="3" customFormat="1" ht="48" customHeight="1" outlineLevel="2" spans="1:45">
      <c r="A174" s="28">
        <v>8</v>
      </c>
      <c r="B174" s="30" t="s">
        <v>420</v>
      </c>
      <c r="C174" s="30" t="s">
        <v>421</v>
      </c>
      <c r="D174" s="31" t="s">
        <v>361</v>
      </c>
      <c r="E174" s="32"/>
      <c r="F174" s="32"/>
      <c r="G174" s="28" t="s">
        <v>146</v>
      </c>
      <c r="H174" s="33"/>
      <c r="I174" s="33"/>
      <c r="J174" s="33"/>
      <c r="K174" s="33"/>
      <c r="L174" s="33"/>
      <c r="M174" s="33"/>
      <c r="N174" s="33"/>
      <c r="O174" s="33"/>
      <c r="P174" s="33"/>
      <c r="Q174" s="33"/>
      <c r="R174" s="33"/>
      <c r="S174" s="33"/>
      <c r="T174" s="33"/>
      <c r="U174" s="33"/>
      <c r="V174" s="33"/>
      <c r="W174" s="33"/>
      <c r="X174" s="33"/>
      <c r="Y174" s="33"/>
      <c r="Z174" s="33">
        <f>Z171</f>
        <v>9</v>
      </c>
      <c r="AA174" s="33"/>
      <c r="AB174" s="33">
        <f t="shared" si="91"/>
        <v>9</v>
      </c>
      <c r="AC174" s="47"/>
      <c r="AD174" s="47"/>
      <c r="AE174" s="47"/>
      <c r="AF174" s="33">
        <f>ROUND((AD174+AE174+AC174)*$AF$4,2)</f>
        <v>0</v>
      </c>
      <c r="AG174" s="33">
        <f>ROUND((AD174+AE174+AF174+AC174)*AG$4,2)</f>
        <v>0</v>
      </c>
      <c r="AH174" s="33">
        <f>ROUND((AD174+AE174+AF174+AG174+AC174)*AH$4,2)</f>
        <v>0</v>
      </c>
      <c r="AI174" s="33">
        <f t="shared" si="92"/>
        <v>0</v>
      </c>
      <c r="AJ174" s="33">
        <f t="shared" si="93"/>
        <v>0</v>
      </c>
      <c r="AK174" s="33">
        <f t="shared" si="94"/>
        <v>0</v>
      </c>
      <c r="AL174" s="33">
        <f t="shared" si="95"/>
        <v>0</v>
      </c>
      <c r="AM174" s="28"/>
      <c r="AN174" s="53"/>
      <c r="AO174" s="67"/>
      <c r="AP174" s="67"/>
      <c r="AQ174" s="67"/>
      <c r="AR174" s="67"/>
      <c r="AS174" s="67"/>
    </row>
    <row r="175" s="3" customFormat="1" ht="48" customHeight="1" outlineLevel="2" spans="1:45">
      <c r="A175" s="28">
        <v>9</v>
      </c>
      <c r="B175" s="30" t="s">
        <v>422</v>
      </c>
      <c r="C175" s="30" t="s">
        <v>423</v>
      </c>
      <c r="D175" s="31" t="s">
        <v>216</v>
      </c>
      <c r="E175" s="32"/>
      <c r="F175" s="32"/>
      <c r="G175" s="28" t="s">
        <v>191</v>
      </c>
      <c r="H175" s="33"/>
      <c r="I175" s="33"/>
      <c r="J175" s="33"/>
      <c r="K175" s="33"/>
      <c r="L175" s="33"/>
      <c r="M175" s="33"/>
      <c r="N175" s="33"/>
      <c r="O175" s="33"/>
      <c r="P175" s="33"/>
      <c r="Q175" s="33"/>
      <c r="R175" s="33"/>
      <c r="S175" s="33"/>
      <c r="T175" s="33"/>
      <c r="U175" s="33"/>
      <c r="V175" s="33"/>
      <c r="W175" s="33"/>
      <c r="X175" s="33"/>
      <c r="Y175" s="33"/>
      <c r="Z175" s="33">
        <v>7</v>
      </c>
      <c r="AA175" s="33"/>
      <c r="AB175" s="33">
        <f t="shared" si="91"/>
        <v>7</v>
      </c>
      <c r="AC175" s="47"/>
      <c r="AD175" s="47"/>
      <c r="AE175" s="47"/>
      <c r="AF175" s="33">
        <f>ROUND((AD175+AE175+AC175)*$AF$4,2)</f>
        <v>0</v>
      </c>
      <c r="AG175" s="33">
        <f>ROUND((AD175+AE175+AF175+AC175)*AG$4,2)</f>
        <v>0</v>
      </c>
      <c r="AH175" s="33">
        <f>ROUND((AD175+AE175+AF175+AG175+AC175)*AH$4,2)</f>
        <v>0</v>
      </c>
      <c r="AI175" s="33">
        <f t="shared" si="92"/>
        <v>0</v>
      </c>
      <c r="AJ175" s="33">
        <f t="shared" si="93"/>
        <v>0</v>
      </c>
      <c r="AK175" s="33">
        <f t="shared" si="94"/>
        <v>0</v>
      </c>
      <c r="AL175" s="33">
        <f t="shared" si="95"/>
        <v>0</v>
      </c>
      <c r="AM175" s="28"/>
      <c r="AN175" s="53"/>
      <c r="AO175" s="67"/>
      <c r="AP175" s="67"/>
      <c r="AQ175" s="67"/>
      <c r="AR175" s="67"/>
      <c r="AS175" s="67"/>
    </row>
    <row r="176" s="3" customFormat="1" ht="48" customHeight="1" outlineLevel="2" spans="1:45">
      <c r="A176" s="28">
        <v>6</v>
      </c>
      <c r="B176" s="30" t="s">
        <v>424</v>
      </c>
      <c r="C176" s="30" t="s">
        <v>425</v>
      </c>
      <c r="D176" s="31" t="s">
        <v>208</v>
      </c>
      <c r="E176" s="32"/>
      <c r="F176" s="32"/>
      <c r="G176" s="28" t="s">
        <v>134</v>
      </c>
      <c r="H176" s="33"/>
      <c r="I176" s="33"/>
      <c r="J176" s="33"/>
      <c r="K176" s="33"/>
      <c r="L176" s="33"/>
      <c r="M176" s="33"/>
      <c r="N176" s="33"/>
      <c r="O176" s="33"/>
      <c r="P176" s="33"/>
      <c r="Q176" s="33"/>
      <c r="R176" s="33"/>
      <c r="S176" s="33"/>
      <c r="T176" s="33"/>
      <c r="U176" s="33"/>
      <c r="V176" s="33"/>
      <c r="W176" s="33"/>
      <c r="X176" s="33"/>
      <c r="Y176" s="33"/>
      <c r="Z176" s="33">
        <f>Z175</f>
        <v>7</v>
      </c>
      <c r="AA176" s="33"/>
      <c r="AB176" s="33">
        <f t="shared" si="91"/>
        <v>7</v>
      </c>
      <c r="AC176" s="47"/>
      <c r="AD176" s="47"/>
      <c r="AE176" s="47"/>
      <c r="AF176" s="33">
        <f>ROUND((AD176+AE176+AC176)*$AF$4,2)</f>
        <v>0</v>
      </c>
      <c r="AG176" s="33">
        <f>ROUND((AD176+AE176+AF176+AC176)*AG$4,2)</f>
        <v>0</v>
      </c>
      <c r="AH176" s="33">
        <f>ROUND((AD176+AE176+AF176+AG176+AC176)*AH$4,2)</f>
        <v>0</v>
      </c>
      <c r="AI176" s="33">
        <f t="shared" si="92"/>
        <v>0</v>
      </c>
      <c r="AJ176" s="33">
        <f t="shared" si="93"/>
        <v>0</v>
      </c>
      <c r="AK176" s="33">
        <f t="shared" si="94"/>
        <v>0</v>
      </c>
      <c r="AL176" s="33">
        <f t="shared" si="95"/>
        <v>0</v>
      </c>
      <c r="AM176" s="28"/>
      <c r="AN176" s="53"/>
      <c r="AO176" s="88"/>
      <c r="AP176" s="67"/>
      <c r="AQ176" s="67"/>
      <c r="AR176" s="67"/>
      <c r="AS176" s="67"/>
    </row>
    <row r="177" s="3" customFormat="1" ht="62" customHeight="1" outlineLevel="2" spans="1:45">
      <c r="A177" s="28">
        <v>8</v>
      </c>
      <c r="B177" s="30" t="s">
        <v>426</v>
      </c>
      <c r="C177" s="30" t="s">
        <v>427</v>
      </c>
      <c r="D177" s="31" t="s">
        <v>133</v>
      </c>
      <c r="E177" s="32"/>
      <c r="F177" s="32"/>
      <c r="G177" s="28" t="s">
        <v>134</v>
      </c>
      <c r="H177" s="33"/>
      <c r="I177" s="33"/>
      <c r="J177" s="33"/>
      <c r="K177" s="33"/>
      <c r="L177" s="33"/>
      <c r="M177" s="33"/>
      <c r="N177" s="33"/>
      <c r="O177" s="33"/>
      <c r="P177" s="33"/>
      <c r="Q177" s="33"/>
      <c r="R177" s="33"/>
      <c r="S177" s="33"/>
      <c r="T177" s="33"/>
      <c r="U177" s="33"/>
      <c r="V177" s="33"/>
      <c r="W177" s="33"/>
      <c r="X177" s="33"/>
      <c r="Y177" s="33"/>
      <c r="Z177" s="33">
        <f>Z175</f>
        <v>7</v>
      </c>
      <c r="AA177" s="33"/>
      <c r="AB177" s="33">
        <f t="shared" si="91"/>
        <v>7</v>
      </c>
      <c r="AC177" s="47"/>
      <c r="AD177" s="47"/>
      <c r="AE177" s="47"/>
      <c r="AF177" s="33">
        <f>ROUND((AD177+AE177+AC177)*$AF$4,2)</f>
        <v>0</v>
      </c>
      <c r="AG177" s="33">
        <f>ROUND((AD177+AE177+AF177+AC177)*AG$4,2)</f>
        <v>0</v>
      </c>
      <c r="AH177" s="33">
        <f>ROUND((AD177+AE177+AF177+AG177+AC177)*AH$4,2)</f>
        <v>0</v>
      </c>
      <c r="AI177" s="33">
        <f t="shared" si="92"/>
        <v>0</v>
      </c>
      <c r="AJ177" s="33">
        <f t="shared" si="93"/>
        <v>0</v>
      </c>
      <c r="AK177" s="33">
        <f t="shared" si="94"/>
        <v>0</v>
      </c>
      <c r="AL177" s="33">
        <f t="shared" si="95"/>
        <v>0</v>
      </c>
      <c r="AM177" s="28"/>
      <c r="AN177" s="53"/>
      <c r="AO177" s="67"/>
      <c r="AP177" s="67"/>
      <c r="AQ177" s="67"/>
      <c r="AR177" s="67"/>
      <c r="AS177" s="67"/>
    </row>
    <row r="178" s="3" customFormat="1" ht="48" customHeight="1" outlineLevel="2" spans="1:45">
      <c r="A178" s="28">
        <v>9</v>
      </c>
      <c r="B178" s="30" t="s">
        <v>428</v>
      </c>
      <c r="C178" s="29" t="s">
        <v>429</v>
      </c>
      <c r="D178" s="31" t="s">
        <v>133</v>
      </c>
      <c r="E178" s="32"/>
      <c r="F178" s="32"/>
      <c r="G178" s="28" t="s">
        <v>156</v>
      </c>
      <c r="H178" s="33"/>
      <c r="I178" s="33"/>
      <c r="J178" s="33"/>
      <c r="K178" s="33"/>
      <c r="L178" s="33"/>
      <c r="M178" s="33"/>
      <c r="N178" s="33"/>
      <c r="O178" s="33"/>
      <c r="P178" s="33"/>
      <c r="Q178" s="33"/>
      <c r="R178" s="33"/>
      <c r="S178" s="33"/>
      <c r="T178" s="33"/>
      <c r="U178" s="33"/>
      <c r="V178" s="33"/>
      <c r="W178" s="33"/>
      <c r="X178" s="33"/>
      <c r="Y178" s="33"/>
      <c r="Z178" s="33">
        <f>Z175</f>
        <v>7</v>
      </c>
      <c r="AA178" s="33"/>
      <c r="AB178" s="33">
        <f t="shared" si="91"/>
        <v>7</v>
      </c>
      <c r="AC178" s="47"/>
      <c r="AD178" s="47"/>
      <c r="AE178" s="47"/>
      <c r="AF178" s="33">
        <f>ROUND((AD178+AE178+AC178)*$AF$4,2)</f>
        <v>0</v>
      </c>
      <c r="AG178" s="33">
        <f>ROUND((AD178+AE178+AF178+AC178)*AG$4,2)</f>
        <v>0</v>
      </c>
      <c r="AH178" s="33">
        <f>ROUND((AD178+AE178+AF178+AG178+AC178)*AH$4,2)</f>
        <v>0</v>
      </c>
      <c r="AI178" s="33">
        <f t="shared" si="92"/>
        <v>0</v>
      </c>
      <c r="AJ178" s="33">
        <f t="shared" si="93"/>
        <v>0</v>
      </c>
      <c r="AK178" s="33">
        <f t="shared" si="94"/>
        <v>0</v>
      </c>
      <c r="AL178" s="33">
        <f t="shared" si="95"/>
        <v>0</v>
      </c>
      <c r="AM178" s="28"/>
      <c r="AN178" s="53"/>
      <c r="AO178" s="67"/>
      <c r="AP178" s="67"/>
      <c r="AQ178" s="67"/>
      <c r="AR178" s="67"/>
      <c r="AS178" s="67"/>
    </row>
    <row r="179" s="1" customFormat="1" ht="30" customHeight="1" outlineLevel="1" spans="1:45">
      <c r="A179" s="21" t="s">
        <v>430</v>
      </c>
      <c r="B179" s="22"/>
      <c r="C179" s="22"/>
      <c r="D179" s="24"/>
      <c r="E179" s="25"/>
      <c r="F179" s="25"/>
      <c r="G179" s="25"/>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16">
        <f>SUM(AK180:AK190)</f>
        <v>0</v>
      </c>
      <c r="AL179" s="16">
        <f>SUM(AL180:AL190)</f>
        <v>0</v>
      </c>
      <c r="AM179" s="25"/>
      <c r="AN179" s="86"/>
      <c r="AO179" s="64"/>
      <c r="AP179" s="64"/>
      <c r="AQ179" s="64"/>
      <c r="AR179" s="64"/>
      <c r="AS179" s="64"/>
    </row>
    <row r="180" s="1" customFormat="1" ht="48" customHeight="1" outlineLevel="2" spans="1:45">
      <c r="A180" s="25">
        <v>1</v>
      </c>
      <c r="B180" s="23" t="s">
        <v>431</v>
      </c>
      <c r="C180" s="23" t="s">
        <v>432</v>
      </c>
      <c r="D180" s="24" t="s">
        <v>361</v>
      </c>
      <c r="E180" s="27"/>
      <c r="F180" s="27"/>
      <c r="G180" s="25" t="s">
        <v>146</v>
      </c>
      <c r="H180" s="26"/>
      <c r="I180" s="26"/>
      <c r="J180" s="26"/>
      <c r="K180" s="26"/>
      <c r="L180" s="26"/>
      <c r="M180" s="26"/>
      <c r="N180" s="26"/>
      <c r="O180" s="26"/>
      <c r="P180" s="26"/>
      <c r="Q180" s="26"/>
      <c r="R180" s="26"/>
      <c r="S180" s="26"/>
      <c r="T180" s="26"/>
      <c r="U180" s="26"/>
      <c r="V180" s="26"/>
      <c r="W180" s="26"/>
      <c r="X180" s="26"/>
      <c r="Y180" s="26"/>
      <c r="Z180" s="26">
        <v>3</v>
      </c>
      <c r="AA180" s="26"/>
      <c r="AB180" s="26">
        <f t="shared" ref="AB180:AB190" si="96">SUM(H180:AA180)</f>
        <v>3</v>
      </c>
      <c r="AC180" s="46"/>
      <c r="AD180" s="46"/>
      <c r="AE180" s="46"/>
      <c r="AF180" s="26">
        <f>ROUND((AD180+AE180+AC180)*$AF$4,2)</f>
        <v>0</v>
      </c>
      <c r="AG180" s="26">
        <f>ROUND((AD180+AE180+AF180+AC180)*AG$4,2)</f>
        <v>0</v>
      </c>
      <c r="AH180" s="26">
        <f>ROUND((AD180+AE180+AF180+AG180+AC180)*AH$4,2)</f>
        <v>0</v>
      </c>
      <c r="AI180" s="26">
        <f t="shared" ref="AI180:AI190" si="97">ROUND((AD180+AE180+AF180+AG180+AC180),2)</f>
        <v>0</v>
      </c>
      <c r="AJ180" s="26">
        <f t="shared" ref="AJ180:AJ190" si="98">ROUND((AD180+AE180+AF180+AG180+AH180+AC180),2)</f>
        <v>0</v>
      </c>
      <c r="AK180" s="26">
        <f t="shared" ref="AK180:AK190" si="99">ROUND((AI180*AB180),2)</f>
        <v>0</v>
      </c>
      <c r="AL180" s="26">
        <f t="shared" ref="AL180:AL190" si="100">ROUND((AJ180*AB180),2)</f>
        <v>0</v>
      </c>
      <c r="AM180" s="25"/>
      <c r="AN180" s="50"/>
      <c r="AO180" s="89"/>
      <c r="AP180" s="64"/>
      <c r="AQ180" s="64"/>
      <c r="AR180" s="64"/>
      <c r="AS180" s="64"/>
    </row>
    <row r="181" s="1" customFormat="1" ht="48" customHeight="1" outlineLevel="2" spans="1:45">
      <c r="A181" s="25">
        <v>2</v>
      </c>
      <c r="B181" s="23" t="s">
        <v>408</v>
      </c>
      <c r="C181" s="23" t="s">
        <v>433</v>
      </c>
      <c r="D181" s="24" t="s">
        <v>361</v>
      </c>
      <c r="E181" s="27"/>
      <c r="F181" s="27"/>
      <c r="G181" s="25" t="s">
        <v>146</v>
      </c>
      <c r="H181" s="26"/>
      <c r="I181" s="26"/>
      <c r="J181" s="26"/>
      <c r="K181" s="26"/>
      <c r="L181" s="26"/>
      <c r="M181" s="26"/>
      <c r="N181" s="26"/>
      <c r="O181" s="26"/>
      <c r="P181" s="26"/>
      <c r="Q181" s="26"/>
      <c r="R181" s="26"/>
      <c r="S181" s="26"/>
      <c r="T181" s="26"/>
      <c r="U181" s="26"/>
      <c r="V181" s="26"/>
      <c r="W181" s="26"/>
      <c r="X181" s="26"/>
      <c r="Y181" s="26"/>
      <c r="Z181" s="26">
        <f>Z180</f>
        <v>3</v>
      </c>
      <c r="AA181" s="26"/>
      <c r="AB181" s="26">
        <f t="shared" si="96"/>
        <v>3</v>
      </c>
      <c r="AC181" s="46"/>
      <c r="AD181" s="46"/>
      <c r="AE181" s="46"/>
      <c r="AF181" s="26">
        <f>ROUND((AD181+AE181+AC181)*$AF$4,2)</f>
        <v>0</v>
      </c>
      <c r="AG181" s="26">
        <f>ROUND((AD181+AE181+AF181+AC181)*AG$4,2)</f>
        <v>0</v>
      </c>
      <c r="AH181" s="26">
        <f>ROUND((AD181+AE181+AF181+AG181+AC181)*AH$4,2)</f>
        <v>0</v>
      </c>
      <c r="AI181" s="26">
        <f t="shared" si="97"/>
        <v>0</v>
      </c>
      <c r="AJ181" s="26">
        <f t="shared" si="98"/>
        <v>0</v>
      </c>
      <c r="AK181" s="26">
        <f t="shared" si="99"/>
        <v>0</v>
      </c>
      <c r="AL181" s="26">
        <f t="shared" si="100"/>
        <v>0</v>
      </c>
      <c r="AM181" s="25"/>
      <c r="AN181" s="50"/>
      <c r="AO181" s="64"/>
      <c r="AP181" s="64"/>
      <c r="AQ181" s="64"/>
      <c r="AR181" s="64"/>
      <c r="AS181" s="64"/>
    </row>
    <row r="182" s="1" customFormat="1" ht="60" outlineLevel="2" spans="1:45">
      <c r="A182" s="25">
        <v>3</v>
      </c>
      <c r="B182" s="23" t="s">
        <v>414</v>
      </c>
      <c r="C182" s="23" t="s">
        <v>434</v>
      </c>
      <c r="D182" s="24" t="s">
        <v>361</v>
      </c>
      <c r="E182" s="27"/>
      <c r="F182" s="27"/>
      <c r="G182" s="25" t="s">
        <v>191</v>
      </c>
      <c r="H182" s="26"/>
      <c r="I182" s="26"/>
      <c r="J182" s="26"/>
      <c r="K182" s="26"/>
      <c r="L182" s="26"/>
      <c r="M182" s="26"/>
      <c r="N182" s="26"/>
      <c r="O182" s="26"/>
      <c r="P182" s="26"/>
      <c r="Q182" s="26"/>
      <c r="R182" s="26"/>
      <c r="S182" s="26"/>
      <c r="T182" s="26"/>
      <c r="U182" s="26"/>
      <c r="V182" s="26"/>
      <c r="W182" s="26"/>
      <c r="X182" s="26"/>
      <c r="Y182" s="26"/>
      <c r="Z182" s="26">
        <f>Z180</f>
        <v>3</v>
      </c>
      <c r="AA182" s="26"/>
      <c r="AB182" s="26">
        <f t="shared" si="96"/>
        <v>3</v>
      </c>
      <c r="AC182" s="46"/>
      <c r="AD182" s="46"/>
      <c r="AE182" s="46"/>
      <c r="AF182" s="26">
        <f>ROUND((AD182+AE182+AC182)*$AF$4,2)</f>
        <v>0</v>
      </c>
      <c r="AG182" s="26">
        <f>ROUND((AD182+AE182+AF182+AC182)*AG$4,2)</f>
        <v>0</v>
      </c>
      <c r="AH182" s="26">
        <f>ROUND((AD182+AE182+AF182+AG182+AC182)*AH$4,2)</f>
        <v>0</v>
      </c>
      <c r="AI182" s="26">
        <f t="shared" si="97"/>
        <v>0</v>
      </c>
      <c r="AJ182" s="26">
        <f t="shared" si="98"/>
        <v>0</v>
      </c>
      <c r="AK182" s="26">
        <f t="shared" si="99"/>
        <v>0</v>
      </c>
      <c r="AL182" s="26">
        <f t="shared" si="100"/>
        <v>0</v>
      </c>
      <c r="AM182" s="25"/>
      <c r="AN182" s="50"/>
      <c r="AO182" s="64"/>
      <c r="AP182" s="64"/>
      <c r="AQ182" s="64"/>
      <c r="AR182" s="64"/>
      <c r="AS182" s="64"/>
    </row>
    <row r="183" s="1" customFormat="1" ht="48" customHeight="1" outlineLevel="2" spans="1:45">
      <c r="A183" s="25">
        <v>4</v>
      </c>
      <c r="B183" s="23" t="s">
        <v>416</v>
      </c>
      <c r="C183" s="22" t="s">
        <v>417</v>
      </c>
      <c r="D183" s="24" t="s">
        <v>361</v>
      </c>
      <c r="E183" s="27"/>
      <c r="F183" s="27"/>
      <c r="G183" s="25" t="s">
        <v>146</v>
      </c>
      <c r="H183" s="26"/>
      <c r="I183" s="26"/>
      <c r="J183" s="26"/>
      <c r="K183" s="26"/>
      <c r="L183" s="26"/>
      <c r="M183" s="26"/>
      <c r="N183" s="26"/>
      <c r="O183" s="26"/>
      <c r="P183" s="26"/>
      <c r="Q183" s="26"/>
      <c r="R183" s="26"/>
      <c r="S183" s="26"/>
      <c r="T183" s="26"/>
      <c r="U183" s="26"/>
      <c r="V183" s="26"/>
      <c r="W183" s="26"/>
      <c r="X183" s="26"/>
      <c r="Y183" s="26"/>
      <c r="Z183" s="26">
        <f>Z182</f>
        <v>3</v>
      </c>
      <c r="AA183" s="26"/>
      <c r="AB183" s="26">
        <f t="shared" si="96"/>
        <v>3</v>
      </c>
      <c r="AC183" s="46"/>
      <c r="AD183" s="46"/>
      <c r="AE183" s="46"/>
      <c r="AF183" s="26">
        <f>ROUND((AD183+AE183+AC183)*$AF$4,2)</f>
        <v>0</v>
      </c>
      <c r="AG183" s="26">
        <f>ROUND((AD183+AE183+AF183+AC183)*AG$4,2)</f>
        <v>0</v>
      </c>
      <c r="AH183" s="26">
        <f>ROUND((AD183+AE183+AF183+AG183+AC183)*AH$4,2)</f>
        <v>0</v>
      </c>
      <c r="AI183" s="26">
        <f t="shared" si="97"/>
        <v>0</v>
      </c>
      <c r="AJ183" s="26">
        <f t="shared" si="98"/>
        <v>0</v>
      </c>
      <c r="AK183" s="26">
        <f t="shared" si="99"/>
        <v>0</v>
      </c>
      <c r="AL183" s="26">
        <f t="shared" si="100"/>
        <v>0</v>
      </c>
      <c r="AM183" s="25"/>
      <c r="AN183" s="50"/>
      <c r="AO183" s="89"/>
      <c r="AP183" s="64"/>
      <c r="AQ183" s="64"/>
      <c r="AR183" s="64"/>
      <c r="AS183" s="64"/>
    </row>
    <row r="184" s="1" customFormat="1" ht="48" customHeight="1" outlineLevel="2" spans="1:45">
      <c r="A184" s="25">
        <v>5</v>
      </c>
      <c r="B184" s="23" t="s">
        <v>418</v>
      </c>
      <c r="C184" s="23" t="s">
        <v>419</v>
      </c>
      <c r="D184" s="24" t="s">
        <v>361</v>
      </c>
      <c r="E184" s="27"/>
      <c r="F184" s="27"/>
      <c r="G184" s="25" t="s">
        <v>146</v>
      </c>
      <c r="H184" s="26"/>
      <c r="I184" s="26"/>
      <c r="J184" s="26"/>
      <c r="K184" s="26"/>
      <c r="L184" s="26"/>
      <c r="M184" s="26"/>
      <c r="N184" s="26"/>
      <c r="O184" s="26"/>
      <c r="P184" s="26"/>
      <c r="Q184" s="26"/>
      <c r="R184" s="26"/>
      <c r="S184" s="26"/>
      <c r="T184" s="26"/>
      <c r="U184" s="26"/>
      <c r="V184" s="26"/>
      <c r="W184" s="26"/>
      <c r="X184" s="26"/>
      <c r="Y184" s="26"/>
      <c r="Z184" s="26">
        <f>Z182</f>
        <v>3</v>
      </c>
      <c r="AA184" s="26"/>
      <c r="AB184" s="26">
        <f t="shared" si="96"/>
        <v>3</v>
      </c>
      <c r="AC184" s="46"/>
      <c r="AD184" s="46"/>
      <c r="AE184" s="46"/>
      <c r="AF184" s="26">
        <f>ROUND((AD184+AE184+AC184)*$AF$4,2)</f>
        <v>0</v>
      </c>
      <c r="AG184" s="26">
        <f>ROUND((AD184+AE184+AF184+AC184)*AG$4,2)</f>
        <v>0</v>
      </c>
      <c r="AH184" s="26">
        <f>ROUND((AD184+AE184+AF184+AG184+AC184)*AH$4,2)</f>
        <v>0</v>
      </c>
      <c r="AI184" s="26">
        <f t="shared" si="97"/>
        <v>0</v>
      </c>
      <c r="AJ184" s="26">
        <f t="shared" si="98"/>
        <v>0</v>
      </c>
      <c r="AK184" s="26">
        <f t="shared" si="99"/>
        <v>0</v>
      </c>
      <c r="AL184" s="26">
        <f t="shared" si="100"/>
        <v>0</v>
      </c>
      <c r="AM184" s="25"/>
      <c r="AN184" s="50"/>
      <c r="AO184" s="64"/>
      <c r="AP184" s="64"/>
      <c r="AQ184" s="64"/>
      <c r="AR184" s="64"/>
      <c r="AS184" s="64"/>
    </row>
    <row r="185" s="1" customFormat="1" ht="48" customHeight="1" outlineLevel="2" spans="1:45">
      <c r="A185" s="25">
        <v>6</v>
      </c>
      <c r="B185" s="23" t="s">
        <v>435</v>
      </c>
      <c r="C185" s="23" t="s">
        <v>436</v>
      </c>
      <c r="D185" s="24" t="s">
        <v>361</v>
      </c>
      <c r="E185" s="27"/>
      <c r="F185" s="27"/>
      <c r="G185" s="25" t="s">
        <v>191</v>
      </c>
      <c r="H185" s="26"/>
      <c r="I185" s="26"/>
      <c r="J185" s="26"/>
      <c r="K185" s="26"/>
      <c r="L185" s="26"/>
      <c r="M185" s="26"/>
      <c r="N185" s="26"/>
      <c r="O185" s="26"/>
      <c r="P185" s="26"/>
      <c r="Q185" s="26"/>
      <c r="R185" s="26"/>
      <c r="S185" s="26"/>
      <c r="T185" s="26"/>
      <c r="U185" s="26"/>
      <c r="V185" s="26"/>
      <c r="W185" s="26"/>
      <c r="X185" s="26"/>
      <c r="Y185" s="26"/>
      <c r="Z185" s="26">
        <v>6</v>
      </c>
      <c r="AA185" s="26"/>
      <c r="AB185" s="26">
        <f t="shared" si="96"/>
        <v>6</v>
      </c>
      <c r="AC185" s="46"/>
      <c r="AD185" s="46"/>
      <c r="AE185" s="46"/>
      <c r="AF185" s="26">
        <f>ROUND((AD185+AE185+AC185)*$AF$4,2)</f>
        <v>0</v>
      </c>
      <c r="AG185" s="26">
        <f>ROUND((AD185+AE185+AF185+AC185)*AG$4,2)</f>
        <v>0</v>
      </c>
      <c r="AH185" s="26">
        <f>ROUND((AD185+AE185+AF185+AG185+AC185)*AH$4,2)</f>
        <v>0</v>
      </c>
      <c r="AI185" s="26">
        <f t="shared" si="97"/>
        <v>0</v>
      </c>
      <c r="AJ185" s="26">
        <f t="shared" si="98"/>
        <v>0</v>
      </c>
      <c r="AK185" s="26">
        <f t="shared" si="99"/>
        <v>0</v>
      </c>
      <c r="AL185" s="26">
        <f t="shared" si="100"/>
        <v>0</v>
      </c>
      <c r="AM185" s="25"/>
      <c r="AN185" s="50"/>
      <c r="AO185" s="64"/>
      <c r="AP185" s="64"/>
      <c r="AQ185" s="64"/>
      <c r="AR185" s="64"/>
      <c r="AS185" s="64"/>
    </row>
    <row r="186" s="1" customFormat="1" ht="48" customHeight="1" outlineLevel="2" spans="1:45">
      <c r="A186" s="25">
        <v>7</v>
      </c>
      <c r="B186" s="23" t="s">
        <v>437</v>
      </c>
      <c r="C186" s="23" t="s">
        <v>438</v>
      </c>
      <c r="D186" s="24" t="s">
        <v>361</v>
      </c>
      <c r="E186" s="27"/>
      <c r="F186" s="27"/>
      <c r="G186" s="25" t="s">
        <v>146</v>
      </c>
      <c r="H186" s="26"/>
      <c r="I186" s="26"/>
      <c r="J186" s="26"/>
      <c r="K186" s="26"/>
      <c r="L186" s="26"/>
      <c r="M186" s="26"/>
      <c r="N186" s="26"/>
      <c r="O186" s="26"/>
      <c r="P186" s="26"/>
      <c r="Q186" s="26"/>
      <c r="R186" s="26"/>
      <c r="S186" s="26"/>
      <c r="T186" s="26"/>
      <c r="U186" s="26"/>
      <c r="V186" s="26"/>
      <c r="W186" s="26"/>
      <c r="X186" s="26"/>
      <c r="Y186" s="26"/>
      <c r="Z186" s="26">
        <v>3</v>
      </c>
      <c r="AA186" s="26"/>
      <c r="AB186" s="26">
        <f t="shared" si="96"/>
        <v>3</v>
      </c>
      <c r="AC186" s="46"/>
      <c r="AD186" s="46"/>
      <c r="AE186" s="46"/>
      <c r="AF186" s="26">
        <f>ROUND((AD186+AE186+AC186)*$AF$4,2)</f>
        <v>0</v>
      </c>
      <c r="AG186" s="26">
        <f>ROUND((AD186+AE186+AF186+AC186)*AG$4,2)</f>
        <v>0</v>
      </c>
      <c r="AH186" s="26">
        <f>ROUND((AD186+AE186+AF186+AG186+AC186)*AH$4,2)</f>
        <v>0</v>
      </c>
      <c r="AI186" s="26">
        <f t="shared" si="97"/>
        <v>0</v>
      </c>
      <c r="AJ186" s="26">
        <f t="shared" si="98"/>
        <v>0</v>
      </c>
      <c r="AK186" s="26">
        <f t="shared" si="99"/>
        <v>0</v>
      </c>
      <c r="AL186" s="26">
        <f t="shared" si="100"/>
        <v>0</v>
      </c>
      <c r="AM186" s="25"/>
      <c r="AN186" s="50"/>
      <c r="AO186" s="89"/>
      <c r="AP186" s="64"/>
      <c r="AQ186" s="64"/>
      <c r="AR186" s="64"/>
      <c r="AS186" s="64"/>
    </row>
    <row r="187" s="1" customFormat="1" ht="48" customHeight="1" outlineLevel="2" spans="1:45">
      <c r="A187" s="25">
        <v>8</v>
      </c>
      <c r="B187" s="22" t="s">
        <v>420</v>
      </c>
      <c r="C187" s="23" t="s">
        <v>421</v>
      </c>
      <c r="D187" s="24" t="s">
        <v>168</v>
      </c>
      <c r="E187" s="27"/>
      <c r="F187" s="27"/>
      <c r="G187" s="25" t="s">
        <v>191</v>
      </c>
      <c r="H187" s="26"/>
      <c r="I187" s="26"/>
      <c r="J187" s="26"/>
      <c r="K187" s="26"/>
      <c r="L187" s="26"/>
      <c r="M187" s="26"/>
      <c r="N187" s="26"/>
      <c r="O187" s="26"/>
      <c r="P187" s="26"/>
      <c r="Q187" s="26"/>
      <c r="R187" s="26"/>
      <c r="S187" s="26"/>
      <c r="T187" s="26"/>
      <c r="U187" s="26"/>
      <c r="V187" s="26"/>
      <c r="W187" s="26"/>
      <c r="X187" s="26"/>
      <c r="Y187" s="26"/>
      <c r="Z187" s="26">
        <v>3</v>
      </c>
      <c r="AA187" s="26"/>
      <c r="AB187" s="26">
        <f t="shared" si="96"/>
        <v>3</v>
      </c>
      <c r="AC187" s="46"/>
      <c r="AD187" s="46"/>
      <c r="AE187" s="46"/>
      <c r="AF187" s="26">
        <f>ROUND((AD187+AE187+AC187)*$AF$4,2)</f>
        <v>0</v>
      </c>
      <c r="AG187" s="26">
        <f>ROUND((AD187+AE187+AF187+AC187)*AG$4,2)</f>
        <v>0</v>
      </c>
      <c r="AH187" s="26">
        <f>ROUND((AD187+AE187+AF187+AG187+AC187)*AH$4,2)</f>
        <v>0</v>
      </c>
      <c r="AI187" s="26">
        <f t="shared" si="97"/>
        <v>0</v>
      </c>
      <c r="AJ187" s="26">
        <f t="shared" si="98"/>
        <v>0</v>
      </c>
      <c r="AK187" s="26">
        <f t="shared" si="99"/>
        <v>0</v>
      </c>
      <c r="AL187" s="26">
        <f t="shared" si="100"/>
        <v>0</v>
      </c>
      <c r="AM187" s="25"/>
      <c r="AN187" s="50"/>
      <c r="AO187" s="64"/>
      <c r="AP187" s="64"/>
      <c r="AQ187" s="64"/>
      <c r="AR187" s="64"/>
      <c r="AS187" s="64"/>
    </row>
    <row r="188" s="3" customFormat="1" ht="48" customHeight="1" outlineLevel="2" spans="1:45">
      <c r="A188" s="28">
        <v>9</v>
      </c>
      <c r="B188" s="29" t="s">
        <v>439</v>
      </c>
      <c r="C188" s="30" t="s">
        <v>440</v>
      </c>
      <c r="D188" s="31" t="s">
        <v>441</v>
      </c>
      <c r="E188" s="32"/>
      <c r="F188" s="32"/>
      <c r="G188" s="28" t="s">
        <v>442</v>
      </c>
      <c r="H188" s="33"/>
      <c r="I188" s="33"/>
      <c r="J188" s="33"/>
      <c r="K188" s="33"/>
      <c r="L188" s="33"/>
      <c r="M188" s="33"/>
      <c r="N188" s="33"/>
      <c r="O188" s="33"/>
      <c r="P188" s="33"/>
      <c r="Q188" s="33"/>
      <c r="R188" s="33"/>
      <c r="S188" s="33"/>
      <c r="T188" s="33"/>
      <c r="U188" s="33"/>
      <c r="V188" s="33"/>
      <c r="W188" s="33"/>
      <c r="X188" s="33"/>
      <c r="Y188" s="33"/>
      <c r="Z188" s="33">
        <v>10</v>
      </c>
      <c r="AA188" s="33"/>
      <c r="AB188" s="33">
        <f t="shared" si="96"/>
        <v>10</v>
      </c>
      <c r="AC188" s="47"/>
      <c r="AD188" s="47"/>
      <c r="AE188" s="47"/>
      <c r="AF188" s="33">
        <f>ROUND((AD188+AE188+AC188)*$AF$4,2)</f>
        <v>0</v>
      </c>
      <c r="AG188" s="33">
        <f>ROUND((AD188+AE188+AF188+AC188)*AG$4,2)</f>
        <v>0</v>
      </c>
      <c r="AH188" s="33">
        <f>ROUND((AD188+AE188+AF188+AG188+AC188)*AH$4,2)</f>
        <v>0</v>
      </c>
      <c r="AI188" s="33">
        <f t="shared" si="97"/>
        <v>0</v>
      </c>
      <c r="AJ188" s="33">
        <f t="shared" si="98"/>
        <v>0</v>
      </c>
      <c r="AK188" s="33">
        <f t="shared" si="99"/>
        <v>0</v>
      </c>
      <c r="AL188" s="33">
        <f t="shared" si="100"/>
        <v>0</v>
      </c>
      <c r="AM188" s="28"/>
      <c r="AN188" s="87"/>
      <c r="AO188" s="88"/>
      <c r="AP188" s="67"/>
      <c r="AQ188" s="67"/>
      <c r="AR188" s="67"/>
      <c r="AS188" s="67"/>
    </row>
    <row r="189" s="1" customFormat="1" ht="48" customHeight="1" outlineLevel="2" spans="1:45">
      <c r="A189" s="25">
        <v>10</v>
      </c>
      <c r="B189" s="22" t="s">
        <v>443</v>
      </c>
      <c r="C189" s="23" t="s">
        <v>444</v>
      </c>
      <c r="D189" s="24" t="s">
        <v>168</v>
      </c>
      <c r="E189" s="27"/>
      <c r="F189" s="27"/>
      <c r="G189" s="25" t="s">
        <v>173</v>
      </c>
      <c r="H189" s="26"/>
      <c r="I189" s="26"/>
      <c r="J189" s="26"/>
      <c r="K189" s="26"/>
      <c r="L189" s="26"/>
      <c r="M189" s="26"/>
      <c r="N189" s="26"/>
      <c r="O189" s="26"/>
      <c r="P189" s="26"/>
      <c r="Q189" s="26"/>
      <c r="R189" s="26"/>
      <c r="S189" s="26"/>
      <c r="T189" s="26"/>
      <c r="U189" s="26"/>
      <c r="V189" s="26"/>
      <c r="W189" s="26"/>
      <c r="X189" s="26"/>
      <c r="Y189" s="26"/>
      <c r="Z189" s="26">
        <v>35</v>
      </c>
      <c r="AA189" s="26"/>
      <c r="AB189" s="26">
        <f t="shared" si="96"/>
        <v>35</v>
      </c>
      <c r="AC189" s="46"/>
      <c r="AD189" s="46"/>
      <c r="AE189" s="46"/>
      <c r="AF189" s="26">
        <f>ROUND((AD189+AE189+AC189)*$AF$4,2)</f>
        <v>0</v>
      </c>
      <c r="AG189" s="26">
        <f>ROUND((AD189+AE189+AF189+AC189)*AG$4,2)</f>
        <v>0</v>
      </c>
      <c r="AH189" s="26">
        <f>ROUND((AD189+AE189+AF189+AG189+AC189)*AH$4,2)</f>
        <v>0</v>
      </c>
      <c r="AI189" s="26">
        <f t="shared" si="97"/>
        <v>0</v>
      </c>
      <c r="AJ189" s="26">
        <f t="shared" si="98"/>
        <v>0</v>
      </c>
      <c r="AK189" s="26">
        <f t="shared" si="99"/>
        <v>0</v>
      </c>
      <c r="AL189" s="26">
        <f t="shared" si="100"/>
        <v>0</v>
      </c>
      <c r="AM189" s="25"/>
      <c r="AN189" s="50"/>
      <c r="AO189" s="64"/>
      <c r="AP189" s="64"/>
      <c r="AQ189" s="64"/>
      <c r="AR189" s="64"/>
      <c r="AS189" s="64"/>
    </row>
    <row r="190" s="1" customFormat="1" ht="48" customHeight="1" outlineLevel="2" spans="1:45">
      <c r="A190" s="25">
        <v>11</v>
      </c>
      <c r="B190" s="22" t="s">
        <v>422</v>
      </c>
      <c r="C190" s="23" t="s">
        <v>445</v>
      </c>
      <c r="D190" s="24" t="s">
        <v>216</v>
      </c>
      <c r="E190" s="27"/>
      <c r="F190" s="27"/>
      <c r="G190" s="25" t="s">
        <v>146</v>
      </c>
      <c r="H190" s="26"/>
      <c r="I190" s="26"/>
      <c r="J190" s="26"/>
      <c r="K190" s="26"/>
      <c r="L190" s="26"/>
      <c r="M190" s="26"/>
      <c r="N190" s="26"/>
      <c r="O190" s="26"/>
      <c r="P190" s="26"/>
      <c r="Q190" s="26"/>
      <c r="R190" s="26"/>
      <c r="S190" s="26"/>
      <c r="T190" s="26"/>
      <c r="U190" s="26"/>
      <c r="V190" s="26"/>
      <c r="W190" s="26"/>
      <c r="X190" s="26"/>
      <c r="Y190" s="26"/>
      <c r="Z190" s="26">
        <v>3</v>
      </c>
      <c r="AA190" s="26"/>
      <c r="AB190" s="26">
        <f t="shared" si="96"/>
        <v>3</v>
      </c>
      <c r="AC190" s="46"/>
      <c r="AD190" s="46"/>
      <c r="AE190" s="46"/>
      <c r="AF190" s="26">
        <f>ROUND((AD190+AE190+AC190)*$AF$4,2)</f>
        <v>0</v>
      </c>
      <c r="AG190" s="26">
        <f>ROUND((AD190+AE190+AF190+AC190)*AG$4,2)</f>
        <v>0</v>
      </c>
      <c r="AH190" s="26">
        <f>ROUND((AD190+AE190+AF190+AG190+AC190)*AH$4,2)</f>
        <v>0</v>
      </c>
      <c r="AI190" s="26">
        <f t="shared" si="97"/>
        <v>0</v>
      </c>
      <c r="AJ190" s="26">
        <f t="shared" si="98"/>
        <v>0</v>
      </c>
      <c r="AK190" s="26">
        <f t="shared" si="99"/>
        <v>0</v>
      </c>
      <c r="AL190" s="26">
        <f t="shared" si="100"/>
        <v>0</v>
      </c>
      <c r="AM190" s="25"/>
      <c r="AN190" s="50"/>
      <c r="AO190" s="64"/>
      <c r="AP190" s="64"/>
      <c r="AQ190" s="64"/>
      <c r="AR190" s="64"/>
      <c r="AS190" s="64"/>
    </row>
    <row r="191" s="1" customFormat="1" ht="30" customHeight="1" outlineLevel="1" spans="1:45">
      <c r="A191" s="21" t="s">
        <v>381</v>
      </c>
      <c r="B191" s="22"/>
      <c r="C191" s="22"/>
      <c r="D191" s="24"/>
      <c r="E191" s="25"/>
      <c r="F191" s="25"/>
      <c r="G191" s="25"/>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16">
        <f>SUM(AK192:AK194)</f>
        <v>0</v>
      </c>
      <c r="AL191" s="16">
        <f>SUM(AL192:AL194)</f>
        <v>0</v>
      </c>
      <c r="AM191" s="25"/>
      <c r="AN191" s="86"/>
      <c r="AO191" s="64"/>
      <c r="AP191" s="64"/>
      <c r="AQ191" s="64"/>
      <c r="AR191" s="64"/>
      <c r="AS191" s="64"/>
    </row>
    <row r="192" s="1" customFormat="1" ht="60" outlineLevel="2" spans="1:45">
      <c r="A192" s="25">
        <v>1</v>
      </c>
      <c r="B192" s="23" t="s">
        <v>446</v>
      </c>
      <c r="C192" s="23" t="s">
        <v>447</v>
      </c>
      <c r="D192" s="24" t="s">
        <v>361</v>
      </c>
      <c r="E192" s="27"/>
      <c r="F192" s="27"/>
      <c r="G192" s="25" t="s">
        <v>146</v>
      </c>
      <c r="H192" s="26"/>
      <c r="I192" s="26"/>
      <c r="J192" s="26"/>
      <c r="K192" s="26"/>
      <c r="L192" s="26"/>
      <c r="M192" s="26"/>
      <c r="N192" s="26"/>
      <c r="O192" s="26"/>
      <c r="P192" s="26"/>
      <c r="Q192" s="26"/>
      <c r="R192" s="26"/>
      <c r="S192" s="26"/>
      <c r="T192" s="26"/>
      <c r="U192" s="26"/>
      <c r="V192" s="26"/>
      <c r="W192" s="26"/>
      <c r="X192" s="26"/>
      <c r="Y192" s="26"/>
      <c r="Z192" s="26"/>
      <c r="AA192" s="26"/>
      <c r="AB192" s="26">
        <v>1</v>
      </c>
      <c r="AC192" s="46"/>
      <c r="AD192" s="46"/>
      <c r="AE192" s="46"/>
      <c r="AF192" s="26">
        <f>ROUND((AD192+AE192+AC192)*$AF$4,2)</f>
        <v>0</v>
      </c>
      <c r="AG192" s="26">
        <f>ROUND((AD192+AE192+AF192+AC192)*AG$4,2)</f>
        <v>0</v>
      </c>
      <c r="AH192" s="26">
        <f>ROUND((AD192+AE192+AF192+AG192+AC192)*AH$4,2)</f>
        <v>0</v>
      </c>
      <c r="AI192" s="26">
        <f t="shared" ref="AI192:AI194" si="101">ROUND((AD192+AE192+AF192+AG192+AC192),2)</f>
        <v>0</v>
      </c>
      <c r="AJ192" s="26">
        <f t="shared" ref="AJ192:AJ194" si="102">ROUND((AD192+AE192+AF192+AG192+AH192+AC192),2)</f>
        <v>0</v>
      </c>
      <c r="AK192" s="26">
        <f t="shared" ref="AK192:AK194" si="103">ROUND((AI192*AB192),2)</f>
        <v>0</v>
      </c>
      <c r="AL192" s="26">
        <f t="shared" ref="AL192:AL194" si="104">ROUND((AJ192*AB192),2)</f>
        <v>0</v>
      </c>
      <c r="AM192" s="25"/>
      <c r="AN192" s="52"/>
      <c r="AO192" s="64"/>
      <c r="AP192" s="64"/>
      <c r="AQ192" s="64"/>
      <c r="AR192" s="64"/>
      <c r="AS192" s="64"/>
    </row>
    <row r="193" s="1" customFormat="1" ht="96" outlineLevel="2" spans="1:45">
      <c r="A193" s="25">
        <v>2</v>
      </c>
      <c r="B193" s="39" t="s">
        <v>448</v>
      </c>
      <c r="C193" s="39" t="s">
        <v>449</v>
      </c>
      <c r="D193" s="34" t="s">
        <v>223</v>
      </c>
      <c r="E193" s="27"/>
      <c r="F193" s="27"/>
      <c r="G193" s="25" t="s">
        <v>146</v>
      </c>
      <c r="H193" s="26"/>
      <c r="I193" s="26"/>
      <c r="J193" s="26"/>
      <c r="K193" s="26"/>
      <c r="L193" s="26"/>
      <c r="M193" s="26"/>
      <c r="N193" s="26"/>
      <c r="O193" s="26"/>
      <c r="P193" s="26"/>
      <c r="Q193" s="26"/>
      <c r="R193" s="26"/>
      <c r="S193" s="26"/>
      <c r="T193" s="26"/>
      <c r="U193" s="26"/>
      <c r="V193" s="26"/>
      <c r="W193" s="26"/>
      <c r="X193" s="26"/>
      <c r="Y193" s="26"/>
      <c r="Z193" s="26"/>
      <c r="AA193" s="26"/>
      <c r="AB193" s="26">
        <v>1</v>
      </c>
      <c r="AC193" s="46"/>
      <c r="AD193" s="46"/>
      <c r="AE193" s="46"/>
      <c r="AF193" s="26">
        <f>ROUND((AD193+AE193+AC193)*$AF$4,2)</f>
        <v>0</v>
      </c>
      <c r="AG193" s="26">
        <f>ROUND((AD193+AE193+AF193+AC193)*AG$4,2)</f>
        <v>0</v>
      </c>
      <c r="AH193" s="26">
        <f>ROUND((AD193+AE193+AF193+AG193+AC193)*AH$4,2)</f>
        <v>0</v>
      </c>
      <c r="AI193" s="26">
        <f t="shared" si="101"/>
        <v>0</v>
      </c>
      <c r="AJ193" s="26">
        <f t="shared" si="102"/>
        <v>0</v>
      </c>
      <c r="AK193" s="26">
        <f t="shared" si="103"/>
        <v>0</v>
      </c>
      <c r="AL193" s="26">
        <f t="shared" si="104"/>
        <v>0</v>
      </c>
      <c r="AM193" s="25"/>
      <c r="AN193" s="52"/>
      <c r="AO193" s="64"/>
      <c r="AQ193" s="7"/>
      <c r="AR193" s="7"/>
      <c r="AS193" s="7"/>
    </row>
    <row r="194" s="4" customFormat="1" ht="72" outlineLevel="2" spans="1:48">
      <c r="A194" s="25">
        <v>2</v>
      </c>
      <c r="B194" s="23" t="s">
        <v>450</v>
      </c>
      <c r="C194" s="23" t="s">
        <v>451</v>
      </c>
      <c r="D194" s="34" t="s">
        <v>223</v>
      </c>
      <c r="E194" s="27"/>
      <c r="F194" s="27"/>
      <c r="G194" s="25" t="s">
        <v>134</v>
      </c>
      <c r="H194" s="26"/>
      <c r="I194" s="26"/>
      <c r="J194" s="26"/>
      <c r="K194" s="26"/>
      <c r="L194" s="26"/>
      <c r="M194" s="26"/>
      <c r="N194" s="26"/>
      <c r="O194" s="26"/>
      <c r="P194" s="26"/>
      <c r="Q194" s="26"/>
      <c r="R194" s="26"/>
      <c r="S194" s="26"/>
      <c r="T194" s="26"/>
      <c r="U194" s="26"/>
      <c r="V194" s="26"/>
      <c r="W194" s="26"/>
      <c r="X194" s="26"/>
      <c r="Y194" s="26"/>
      <c r="Z194" s="26"/>
      <c r="AA194" s="26"/>
      <c r="AB194" s="26">
        <v>1</v>
      </c>
      <c r="AC194" s="46"/>
      <c r="AD194" s="46"/>
      <c r="AE194" s="46"/>
      <c r="AF194" s="26">
        <f>ROUND((AD194+AE194+AC194)*$AF$4,2)</f>
        <v>0</v>
      </c>
      <c r="AG194" s="26">
        <f>ROUND((AD194+AE194+AF194+AC194)*AG$4,2)</f>
        <v>0</v>
      </c>
      <c r="AH194" s="26">
        <f>ROUND((AD194+AE194+AF194+AG194+AC194)*AH$4,2)</f>
        <v>0</v>
      </c>
      <c r="AI194" s="26">
        <f t="shared" si="101"/>
        <v>0</v>
      </c>
      <c r="AJ194" s="26">
        <f t="shared" si="102"/>
        <v>0</v>
      </c>
      <c r="AK194" s="26">
        <f t="shared" si="103"/>
        <v>0</v>
      </c>
      <c r="AL194" s="26">
        <f t="shared" si="104"/>
        <v>0</v>
      </c>
      <c r="AM194" s="25"/>
      <c r="AN194" s="50"/>
      <c r="AO194" s="64"/>
      <c r="AP194" s="65"/>
      <c r="AQ194" s="64"/>
      <c r="AR194" s="64"/>
      <c r="AS194" s="64"/>
      <c r="AT194" s="1"/>
      <c r="AU194" s="1"/>
      <c r="AV194" s="1"/>
    </row>
    <row r="195" s="4" customFormat="1" ht="30" customHeight="1" outlineLevel="1" spans="1:45">
      <c r="A195" s="90" t="s">
        <v>452</v>
      </c>
      <c r="B195" s="70"/>
      <c r="C195" s="39"/>
      <c r="D195" s="34"/>
      <c r="E195" s="72"/>
      <c r="F195" s="72"/>
      <c r="G195" s="34"/>
      <c r="H195" s="91"/>
      <c r="I195" s="92"/>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26"/>
      <c r="AG195" s="26"/>
      <c r="AH195" s="26"/>
      <c r="AI195" s="26"/>
      <c r="AJ195" s="26"/>
      <c r="AK195" s="16">
        <f>SUM(AK196:AK207)</f>
        <v>0</v>
      </c>
      <c r="AL195" s="16">
        <f>SUM(AL196:AL207)</f>
        <v>0</v>
      </c>
      <c r="AM195" s="76"/>
      <c r="AQ195" s="102"/>
      <c r="AR195" s="102"/>
      <c r="AS195" s="102"/>
    </row>
    <row r="196" s="4" customFormat="1" ht="48" customHeight="1" outlineLevel="2" spans="1:45">
      <c r="A196" s="72">
        <v>1</v>
      </c>
      <c r="B196" s="70" t="s">
        <v>453</v>
      </c>
      <c r="C196" s="39" t="s">
        <v>175</v>
      </c>
      <c r="D196" s="24" t="s">
        <v>162</v>
      </c>
      <c r="E196" s="71"/>
      <c r="F196" s="71"/>
      <c r="G196" s="72" t="s">
        <v>173</v>
      </c>
      <c r="H196" s="26"/>
      <c r="I196" s="26"/>
      <c r="J196" s="26"/>
      <c r="K196" s="26"/>
      <c r="L196" s="26"/>
      <c r="M196" s="26"/>
      <c r="N196" s="26"/>
      <c r="O196" s="26"/>
      <c r="P196" s="26"/>
      <c r="Q196" s="26"/>
      <c r="R196" s="26"/>
      <c r="S196" s="26"/>
      <c r="T196" s="26"/>
      <c r="U196" s="26"/>
      <c r="V196" s="26"/>
      <c r="W196" s="26"/>
      <c r="X196" s="26"/>
      <c r="Y196" s="26"/>
      <c r="Z196" s="26">
        <v>3000</v>
      </c>
      <c r="AA196" s="26"/>
      <c r="AB196" s="26">
        <f t="shared" ref="AB196:AB201" si="105">SUM(H196:AA196)</f>
        <v>3000</v>
      </c>
      <c r="AC196" s="46"/>
      <c r="AD196" s="46"/>
      <c r="AE196" s="46"/>
      <c r="AF196" s="26">
        <f>ROUND((AD196+AE196+AC196)*$AF$4,2)</f>
        <v>0</v>
      </c>
      <c r="AG196" s="26">
        <f>ROUND((AD196+AE196+AF196+AC196)*AG$4,2)</f>
        <v>0</v>
      </c>
      <c r="AH196" s="26">
        <f>ROUND((AD196+AE196+AF196+AG196+AC196)*AH$4,2)</f>
        <v>0</v>
      </c>
      <c r="AI196" s="26">
        <f t="shared" ref="AI196:AI207" si="106">ROUND((AD196+AE196+AF196+AG196+AC196),2)</f>
        <v>0</v>
      </c>
      <c r="AJ196" s="26">
        <f t="shared" ref="AJ196:AJ207" si="107">ROUND((AD196+AE196+AF196+AG196+AH196+AC196),2)</f>
        <v>0</v>
      </c>
      <c r="AK196" s="26">
        <f t="shared" ref="AK196:AK207" si="108">ROUND((AI196*AB196),2)</f>
        <v>0</v>
      </c>
      <c r="AL196" s="26">
        <f t="shared" ref="AL196:AL207" si="109">ROUND((AJ196*AB196),2)</f>
        <v>0</v>
      </c>
      <c r="AM196" s="76"/>
      <c r="AN196" s="52"/>
      <c r="AP196" s="64"/>
      <c r="AQ196" s="64"/>
      <c r="AR196" s="64"/>
      <c r="AS196" s="64"/>
    </row>
    <row r="197" s="4" customFormat="1" ht="48" customHeight="1" outlineLevel="2" spans="1:45">
      <c r="A197" s="72">
        <v>2</v>
      </c>
      <c r="B197" s="70" t="s">
        <v>171</v>
      </c>
      <c r="C197" s="39" t="s">
        <v>454</v>
      </c>
      <c r="D197" s="24" t="s">
        <v>162</v>
      </c>
      <c r="E197" s="71"/>
      <c r="F197" s="71"/>
      <c r="G197" s="72" t="s">
        <v>173</v>
      </c>
      <c r="H197" s="26"/>
      <c r="I197" s="26"/>
      <c r="J197" s="26"/>
      <c r="K197" s="26"/>
      <c r="L197" s="26"/>
      <c r="M197" s="26"/>
      <c r="N197" s="26"/>
      <c r="O197" s="26"/>
      <c r="P197" s="26"/>
      <c r="Q197" s="26"/>
      <c r="R197" s="26"/>
      <c r="S197" s="26"/>
      <c r="T197" s="26"/>
      <c r="U197" s="26"/>
      <c r="V197" s="26"/>
      <c r="W197" s="26"/>
      <c r="X197" s="26"/>
      <c r="Y197" s="26"/>
      <c r="Z197" s="26">
        <v>305</v>
      </c>
      <c r="AA197" s="26"/>
      <c r="AB197" s="26">
        <f t="shared" si="105"/>
        <v>305</v>
      </c>
      <c r="AC197" s="46"/>
      <c r="AD197" s="46"/>
      <c r="AE197" s="46"/>
      <c r="AF197" s="26">
        <f>ROUND((AD197+AE197+AC197)*$AF$4,2)</f>
        <v>0</v>
      </c>
      <c r="AG197" s="26">
        <f>ROUND((AD197+AE197+AF197+AC197)*AG$4,2)</f>
        <v>0</v>
      </c>
      <c r="AH197" s="26">
        <f>ROUND((AD197+AE197+AF197+AG197+AC197)*AH$4,2)</f>
        <v>0</v>
      </c>
      <c r="AI197" s="26">
        <f t="shared" si="106"/>
        <v>0</v>
      </c>
      <c r="AJ197" s="26">
        <f t="shared" si="107"/>
        <v>0</v>
      </c>
      <c r="AK197" s="26">
        <f t="shared" si="108"/>
        <v>0</v>
      </c>
      <c r="AL197" s="26">
        <f t="shared" si="109"/>
        <v>0</v>
      </c>
      <c r="AM197" s="76"/>
      <c r="AN197" s="52"/>
      <c r="AO197" s="50"/>
      <c r="AP197" s="64"/>
      <c r="AQ197" s="64"/>
      <c r="AR197" s="64"/>
      <c r="AS197" s="64"/>
    </row>
    <row r="198" s="4" customFormat="1" ht="48" customHeight="1" outlineLevel="2" spans="1:45">
      <c r="A198" s="72">
        <v>3</v>
      </c>
      <c r="B198" s="39" t="s">
        <v>455</v>
      </c>
      <c r="C198" s="39" t="s">
        <v>456</v>
      </c>
      <c r="D198" s="24" t="s">
        <v>162</v>
      </c>
      <c r="E198" s="71"/>
      <c r="F198" s="71"/>
      <c r="G198" s="72" t="s">
        <v>173</v>
      </c>
      <c r="H198" s="26"/>
      <c r="I198" s="26"/>
      <c r="J198" s="26"/>
      <c r="K198" s="26"/>
      <c r="L198" s="26"/>
      <c r="M198" s="26"/>
      <c r="N198" s="26"/>
      <c r="O198" s="26"/>
      <c r="P198" s="26"/>
      <c r="Q198" s="26"/>
      <c r="R198" s="26"/>
      <c r="S198" s="26"/>
      <c r="T198" s="26"/>
      <c r="U198" s="26"/>
      <c r="V198" s="26"/>
      <c r="W198" s="26"/>
      <c r="X198" s="26"/>
      <c r="Y198" s="26"/>
      <c r="Z198" s="26">
        <v>200</v>
      </c>
      <c r="AA198" s="26"/>
      <c r="AB198" s="26">
        <f t="shared" si="105"/>
        <v>200</v>
      </c>
      <c r="AC198" s="74"/>
      <c r="AD198" s="74"/>
      <c r="AE198" s="74"/>
      <c r="AF198" s="26">
        <f>ROUND((AD198+AE198+AC198)*$AF$4,2)</f>
        <v>0</v>
      </c>
      <c r="AG198" s="26">
        <f>ROUND((AD198+AE198+AF198+AC198)*AG$4,2)</f>
        <v>0</v>
      </c>
      <c r="AH198" s="26">
        <f>ROUND((AD198+AE198+AF198+AG198+AC198)*AH$4,2)</f>
        <v>0</v>
      </c>
      <c r="AI198" s="26">
        <f t="shared" si="106"/>
        <v>0</v>
      </c>
      <c r="AJ198" s="26">
        <f t="shared" si="107"/>
        <v>0</v>
      </c>
      <c r="AK198" s="26">
        <f t="shared" si="108"/>
        <v>0</v>
      </c>
      <c r="AL198" s="26">
        <f t="shared" si="109"/>
        <v>0</v>
      </c>
      <c r="AM198" s="76"/>
      <c r="AN198" s="50"/>
      <c r="AP198" s="64"/>
      <c r="AQ198" s="64"/>
      <c r="AR198" s="64"/>
      <c r="AS198" s="64"/>
    </row>
    <row r="199" s="4" customFormat="1" ht="48" customHeight="1" outlineLevel="2" spans="1:45">
      <c r="A199" s="72">
        <v>4</v>
      </c>
      <c r="B199" s="39" t="s">
        <v>457</v>
      </c>
      <c r="C199" s="39" t="s">
        <v>458</v>
      </c>
      <c r="D199" s="24" t="s">
        <v>162</v>
      </c>
      <c r="E199" s="71"/>
      <c r="F199" s="71"/>
      <c r="G199" s="72" t="s">
        <v>173</v>
      </c>
      <c r="H199" s="26"/>
      <c r="I199" s="26"/>
      <c r="J199" s="26"/>
      <c r="K199" s="26"/>
      <c r="L199" s="26"/>
      <c r="M199" s="26"/>
      <c r="N199" s="26"/>
      <c r="O199" s="26"/>
      <c r="P199" s="26"/>
      <c r="Q199" s="26"/>
      <c r="R199" s="26"/>
      <c r="S199" s="26"/>
      <c r="T199" s="26"/>
      <c r="U199" s="26"/>
      <c r="V199" s="26"/>
      <c r="W199" s="26"/>
      <c r="X199" s="26"/>
      <c r="Y199" s="26"/>
      <c r="Z199" s="26">
        <v>500</v>
      </c>
      <c r="AA199" s="26"/>
      <c r="AB199" s="26">
        <f t="shared" si="105"/>
        <v>500</v>
      </c>
      <c r="AC199" s="74"/>
      <c r="AD199" s="74"/>
      <c r="AE199" s="74"/>
      <c r="AF199" s="26">
        <f>ROUND((AD199+AE199+AC199)*$AF$4,2)</f>
        <v>0</v>
      </c>
      <c r="AG199" s="26">
        <f>ROUND((AD199+AE199+AF199+AC199)*AG$4,2)</f>
        <v>0</v>
      </c>
      <c r="AH199" s="26">
        <f>ROUND((AD199+AE199+AF199+AG199+AC199)*AH$4,2)</f>
        <v>0</v>
      </c>
      <c r="AI199" s="26">
        <f t="shared" si="106"/>
        <v>0</v>
      </c>
      <c r="AJ199" s="26">
        <f t="shared" si="107"/>
        <v>0</v>
      </c>
      <c r="AK199" s="26">
        <f t="shared" si="108"/>
        <v>0</v>
      </c>
      <c r="AL199" s="26">
        <f t="shared" si="109"/>
        <v>0</v>
      </c>
      <c r="AM199" s="76"/>
      <c r="AN199" s="50"/>
      <c r="AP199" s="64"/>
      <c r="AQ199" s="64"/>
      <c r="AR199" s="64"/>
      <c r="AS199" s="64"/>
    </row>
    <row r="200" s="4" customFormat="1" ht="48" customHeight="1" outlineLevel="2" spans="1:45">
      <c r="A200" s="72">
        <v>5</v>
      </c>
      <c r="B200" s="39" t="s">
        <v>459</v>
      </c>
      <c r="C200" s="39" t="s">
        <v>460</v>
      </c>
      <c r="D200" s="24" t="s">
        <v>162</v>
      </c>
      <c r="E200" s="71"/>
      <c r="F200" s="71"/>
      <c r="G200" s="72" t="s">
        <v>173</v>
      </c>
      <c r="H200" s="26"/>
      <c r="I200" s="26"/>
      <c r="J200" s="26"/>
      <c r="K200" s="26"/>
      <c r="L200" s="26"/>
      <c r="M200" s="26"/>
      <c r="N200" s="26"/>
      <c r="O200" s="26"/>
      <c r="P200" s="26"/>
      <c r="Q200" s="26"/>
      <c r="R200" s="26"/>
      <c r="S200" s="26"/>
      <c r="T200" s="26"/>
      <c r="U200" s="26"/>
      <c r="V200" s="26"/>
      <c r="W200" s="26"/>
      <c r="X200" s="26"/>
      <c r="Y200" s="26"/>
      <c r="Z200" s="26">
        <v>100</v>
      </c>
      <c r="AA200" s="26"/>
      <c r="AB200" s="26">
        <f t="shared" si="105"/>
        <v>100</v>
      </c>
      <c r="AC200" s="74"/>
      <c r="AD200" s="74"/>
      <c r="AE200" s="74"/>
      <c r="AF200" s="26">
        <f>ROUND((AD200+AE200+AC200)*$AF$4,2)</f>
        <v>0</v>
      </c>
      <c r="AG200" s="26">
        <f>ROUND((AD200+AE200+AF200+AC200)*AG$4,2)</f>
        <v>0</v>
      </c>
      <c r="AH200" s="26">
        <f>ROUND((AD200+AE200+AF200+AG200+AC200)*AH$4,2)</f>
        <v>0</v>
      </c>
      <c r="AI200" s="26">
        <f t="shared" si="106"/>
        <v>0</v>
      </c>
      <c r="AJ200" s="26">
        <f t="shared" si="107"/>
        <v>0</v>
      </c>
      <c r="AK200" s="26">
        <f t="shared" si="108"/>
        <v>0</v>
      </c>
      <c r="AL200" s="26">
        <f t="shared" si="109"/>
        <v>0</v>
      </c>
      <c r="AM200" s="76"/>
      <c r="AN200" s="50"/>
      <c r="AP200" s="64"/>
      <c r="AQ200" s="64"/>
      <c r="AR200" s="64"/>
      <c r="AS200" s="64"/>
    </row>
    <row r="201" s="4" customFormat="1" ht="48" customHeight="1" outlineLevel="2" spans="1:45">
      <c r="A201" s="72">
        <v>6</v>
      </c>
      <c r="B201" s="70" t="s">
        <v>461</v>
      </c>
      <c r="C201" s="39" t="s">
        <v>462</v>
      </c>
      <c r="D201" s="24" t="s">
        <v>162</v>
      </c>
      <c r="E201" s="71"/>
      <c r="F201" s="71"/>
      <c r="G201" s="72" t="s">
        <v>173</v>
      </c>
      <c r="H201" s="26"/>
      <c r="I201" s="26"/>
      <c r="J201" s="26"/>
      <c r="K201" s="26"/>
      <c r="L201" s="26"/>
      <c r="M201" s="26"/>
      <c r="N201" s="26"/>
      <c r="O201" s="26"/>
      <c r="P201" s="26"/>
      <c r="Q201" s="26"/>
      <c r="R201" s="26"/>
      <c r="S201" s="26"/>
      <c r="T201" s="26"/>
      <c r="U201" s="26"/>
      <c r="V201" s="26"/>
      <c r="W201" s="26"/>
      <c r="X201" s="26"/>
      <c r="Y201" s="26"/>
      <c r="Z201" s="26">
        <v>100</v>
      </c>
      <c r="AA201" s="26"/>
      <c r="AB201" s="26">
        <f t="shared" si="105"/>
        <v>100</v>
      </c>
      <c r="AC201" s="74"/>
      <c r="AD201" s="74"/>
      <c r="AE201" s="74"/>
      <c r="AF201" s="26">
        <f>ROUND((AD201+AE201+AC201)*$AF$4,2)</f>
        <v>0</v>
      </c>
      <c r="AG201" s="26">
        <f>ROUND((AD201+AE201+AF201+AC201)*AG$4,2)</f>
        <v>0</v>
      </c>
      <c r="AH201" s="26">
        <f>ROUND((AD201+AE201+AF201+AG201+AC201)*AH$4,2)</f>
        <v>0</v>
      </c>
      <c r="AI201" s="26">
        <f t="shared" si="106"/>
        <v>0</v>
      </c>
      <c r="AJ201" s="26">
        <f t="shared" si="107"/>
        <v>0</v>
      </c>
      <c r="AK201" s="26">
        <f t="shared" si="108"/>
        <v>0</v>
      </c>
      <c r="AL201" s="26">
        <f t="shared" si="109"/>
        <v>0</v>
      </c>
      <c r="AM201" s="76"/>
      <c r="AN201" s="50"/>
      <c r="AP201" s="64"/>
      <c r="AQ201" s="64"/>
      <c r="AR201" s="64"/>
      <c r="AS201" s="64"/>
    </row>
    <row r="202" s="1" customFormat="1" ht="48" customHeight="1" outlineLevel="2" spans="1:45">
      <c r="A202" s="72">
        <v>7</v>
      </c>
      <c r="B202" s="23" t="s">
        <v>297</v>
      </c>
      <c r="C202" s="22" t="s">
        <v>298</v>
      </c>
      <c r="D202" s="24" t="s">
        <v>162</v>
      </c>
      <c r="E202" s="27"/>
      <c r="F202" s="27"/>
      <c r="G202" s="25" t="s">
        <v>173</v>
      </c>
      <c r="H202" s="26"/>
      <c r="I202" s="26"/>
      <c r="J202" s="26"/>
      <c r="K202" s="26"/>
      <c r="L202" s="26"/>
      <c r="M202" s="26"/>
      <c r="N202" s="26"/>
      <c r="O202" s="26"/>
      <c r="P202" s="26"/>
      <c r="Q202" s="26"/>
      <c r="R202" s="26"/>
      <c r="S202" s="26"/>
      <c r="T202" s="26"/>
      <c r="U202" s="26"/>
      <c r="V202" s="26"/>
      <c r="W202" s="26"/>
      <c r="X202" s="26"/>
      <c r="Y202" s="26"/>
      <c r="Z202" s="26"/>
      <c r="AA202" s="26"/>
      <c r="AB202" s="26">
        <v>4000</v>
      </c>
      <c r="AC202" s="46"/>
      <c r="AD202" s="46"/>
      <c r="AE202" s="46"/>
      <c r="AF202" s="26">
        <f>ROUND((AD202+AE202+AC202)*$AF$4,2)</f>
        <v>0</v>
      </c>
      <c r="AG202" s="26">
        <f>ROUND((AD202+AE202+AF202+AC202)*AG$4,2)</f>
        <v>0</v>
      </c>
      <c r="AH202" s="26">
        <f>ROUND((AD202+AE202+AF202+AG202+AC202)*AH$4,2)</f>
        <v>0</v>
      </c>
      <c r="AI202" s="26">
        <f t="shared" si="106"/>
        <v>0</v>
      </c>
      <c r="AJ202" s="26">
        <f t="shared" si="107"/>
        <v>0</v>
      </c>
      <c r="AK202" s="26">
        <f t="shared" si="108"/>
        <v>0</v>
      </c>
      <c r="AL202" s="26">
        <f t="shared" si="109"/>
        <v>0</v>
      </c>
      <c r="AM202" s="24"/>
      <c r="AN202" s="50"/>
      <c r="AO202" s="50"/>
      <c r="AP202" s="61"/>
      <c r="AQ202" s="60"/>
      <c r="AR202" s="60"/>
      <c r="AS202" s="60"/>
    </row>
    <row r="203" s="5" customFormat="1" ht="48" customHeight="1" outlineLevel="2" spans="1:45">
      <c r="A203" s="79">
        <v>8</v>
      </c>
      <c r="B203" s="68" t="s">
        <v>463</v>
      </c>
      <c r="C203" s="68" t="s">
        <v>464</v>
      </c>
      <c r="D203" s="31" t="s">
        <v>465</v>
      </c>
      <c r="E203" s="78"/>
      <c r="F203" s="78"/>
      <c r="G203" s="79" t="s">
        <v>173</v>
      </c>
      <c r="H203" s="33"/>
      <c r="I203" s="33"/>
      <c r="J203" s="33"/>
      <c r="K203" s="33"/>
      <c r="L203" s="33"/>
      <c r="M203" s="33"/>
      <c r="N203" s="33"/>
      <c r="O203" s="33"/>
      <c r="P203" s="33"/>
      <c r="Q203" s="33"/>
      <c r="R203" s="33"/>
      <c r="S203" s="33"/>
      <c r="T203" s="33"/>
      <c r="U203" s="33"/>
      <c r="V203" s="33"/>
      <c r="W203" s="33"/>
      <c r="X203" s="33"/>
      <c r="Y203" s="33"/>
      <c r="Z203" s="33">
        <v>100</v>
      </c>
      <c r="AA203" s="33"/>
      <c r="AB203" s="33">
        <f>SUM(H203:AA203)</f>
        <v>100</v>
      </c>
      <c r="AC203" s="83"/>
      <c r="AD203" s="83"/>
      <c r="AE203" s="83"/>
      <c r="AF203" s="33">
        <f>ROUND((AD203+AE203+AC203)*$AF$4,2)</f>
        <v>0</v>
      </c>
      <c r="AG203" s="33">
        <f>ROUND((AD203+AE203+AF203+AC203)*AG$4,2)</f>
        <v>0</v>
      </c>
      <c r="AH203" s="33">
        <f>ROUND((AD203+AE203+AF203+AG203+AC203)*AH$4,2)</f>
        <v>0</v>
      </c>
      <c r="AI203" s="33">
        <f t="shared" si="106"/>
        <v>0</v>
      </c>
      <c r="AJ203" s="33">
        <f t="shared" si="107"/>
        <v>0</v>
      </c>
      <c r="AK203" s="33">
        <f t="shared" si="108"/>
        <v>0</v>
      </c>
      <c r="AL203" s="33">
        <f t="shared" si="109"/>
        <v>0</v>
      </c>
      <c r="AM203" s="84"/>
      <c r="AN203" s="53"/>
      <c r="AP203" s="67"/>
      <c r="AQ203" s="67"/>
      <c r="AR203" s="67"/>
      <c r="AS203" s="67"/>
    </row>
    <row r="204" s="5" customFormat="1" ht="48" customHeight="1" outlineLevel="2" spans="1:45">
      <c r="A204" s="79">
        <v>9</v>
      </c>
      <c r="B204" s="68" t="s">
        <v>466</v>
      </c>
      <c r="C204" s="68" t="s">
        <v>467</v>
      </c>
      <c r="D204" s="31" t="s">
        <v>465</v>
      </c>
      <c r="E204" s="78"/>
      <c r="F204" s="78"/>
      <c r="G204" s="79" t="s">
        <v>173</v>
      </c>
      <c r="H204" s="33"/>
      <c r="I204" s="33"/>
      <c r="J204" s="33"/>
      <c r="K204" s="33"/>
      <c r="L204" s="33"/>
      <c r="M204" s="33"/>
      <c r="N204" s="33"/>
      <c r="O204" s="33"/>
      <c r="P204" s="33"/>
      <c r="Q204" s="33"/>
      <c r="R204" s="33"/>
      <c r="S204" s="33"/>
      <c r="T204" s="33"/>
      <c r="U204" s="33"/>
      <c r="V204" s="33"/>
      <c r="W204" s="33"/>
      <c r="X204" s="33"/>
      <c r="Y204" s="33"/>
      <c r="Z204" s="33">
        <v>100</v>
      </c>
      <c r="AA204" s="33"/>
      <c r="AB204" s="33">
        <f>SUM(H204:AA204)</f>
        <v>100</v>
      </c>
      <c r="AC204" s="83"/>
      <c r="AD204" s="83"/>
      <c r="AE204" s="83"/>
      <c r="AF204" s="33">
        <f>ROUND((AD204+AE204+AC204)*$AF$4,2)</f>
        <v>0</v>
      </c>
      <c r="AG204" s="33">
        <f>ROUND((AD204+AE204+AF204+AC204)*AG$4,2)</f>
        <v>0</v>
      </c>
      <c r="AH204" s="33">
        <f>ROUND((AD204+AE204+AF204+AG204+AC204)*AH$4,2)</f>
        <v>0</v>
      </c>
      <c r="AI204" s="33">
        <f t="shared" si="106"/>
        <v>0</v>
      </c>
      <c r="AJ204" s="33">
        <f t="shared" si="107"/>
        <v>0</v>
      </c>
      <c r="AK204" s="33">
        <f t="shared" si="108"/>
        <v>0</v>
      </c>
      <c r="AL204" s="33">
        <f t="shared" si="109"/>
        <v>0</v>
      </c>
      <c r="AM204" s="84"/>
      <c r="AN204" s="87"/>
      <c r="AP204" s="67"/>
      <c r="AQ204" s="67"/>
      <c r="AR204" s="67"/>
      <c r="AS204" s="67"/>
    </row>
    <row r="205" s="4" customFormat="1" ht="48" customHeight="1" outlineLevel="2" spans="1:45">
      <c r="A205" s="72">
        <v>10</v>
      </c>
      <c r="B205" s="39" t="s">
        <v>468</v>
      </c>
      <c r="C205" s="39" t="s">
        <v>469</v>
      </c>
      <c r="D205" s="24" t="s">
        <v>351</v>
      </c>
      <c r="E205" s="71"/>
      <c r="F205" s="71"/>
      <c r="G205" s="72" t="s">
        <v>173</v>
      </c>
      <c r="H205" s="26"/>
      <c r="I205" s="26"/>
      <c r="J205" s="26"/>
      <c r="K205" s="26"/>
      <c r="L205" s="26"/>
      <c r="M205" s="26"/>
      <c r="N205" s="26"/>
      <c r="O205" s="26"/>
      <c r="P205" s="26"/>
      <c r="Q205" s="26"/>
      <c r="R205" s="26"/>
      <c r="S205" s="26"/>
      <c r="T205" s="26"/>
      <c r="U205" s="26"/>
      <c r="V205" s="26"/>
      <c r="W205" s="26"/>
      <c r="X205" s="26"/>
      <c r="Y205" s="26"/>
      <c r="Z205" s="26">
        <f>(5.105+0.7+1)+(23.896+0.7+1)+(10.054+12.535+(0.7+1)*2)+(21.007+0.7+1)+(6.658+3.446+(0.7+1)*2)+(15.361+12.93+(0.7+1)*2)</f>
        <v>126.292</v>
      </c>
      <c r="AA205" s="26"/>
      <c r="AB205" s="26">
        <f t="shared" ref="AB205:AB207" si="110">SUM(H205:AA205)</f>
        <v>126.292</v>
      </c>
      <c r="AC205" s="74"/>
      <c r="AD205" s="74"/>
      <c r="AE205" s="74"/>
      <c r="AF205" s="26">
        <f>ROUND((AD205+AE205+AC205)*$AF$4,2)</f>
        <v>0</v>
      </c>
      <c r="AG205" s="26">
        <f>ROUND((AD205+AE205+AF205+AC205)*AG$4,2)</f>
        <v>0</v>
      </c>
      <c r="AH205" s="26">
        <f>ROUND((AD205+AE205+AF205+AG205+AC205)*AH$4,2)</f>
        <v>0</v>
      </c>
      <c r="AI205" s="26">
        <f t="shared" si="106"/>
        <v>0</v>
      </c>
      <c r="AJ205" s="26">
        <f t="shared" si="107"/>
        <v>0</v>
      </c>
      <c r="AK205" s="26">
        <f t="shared" si="108"/>
        <v>0</v>
      </c>
      <c r="AL205" s="26">
        <f t="shared" si="109"/>
        <v>0</v>
      </c>
      <c r="AM205" s="76"/>
      <c r="AN205" s="52"/>
      <c r="AP205" s="64"/>
      <c r="AQ205" s="64"/>
      <c r="AR205" s="64"/>
      <c r="AS205" s="64"/>
    </row>
    <row r="206" s="4" customFormat="1" ht="48" customHeight="1" outlineLevel="2" spans="1:45">
      <c r="A206" s="72">
        <v>11</v>
      </c>
      <c r="B206" s="39" t="s">
        <v>470</v>
      </c>
      <c r="C206" s="39" t="s">
        <v>471</v>
      </c>
      <c r="D206" s="24" t="s">
        <v>351</v>
      </c>
      <c r="E206" s="71"/>
      <c r="F206" s="71"/>
      <c r="G206" s="72" t="s">
        <v>173</v>
      </c>
      <c r="H206" s="26"/>
      <c r="I206" s="26"/>
      <c r="J206" s="26"/>
      <c r="K206" s="26"/>
      <c r="L206" s="26"/>
      <c r="M206" s="26"/>
      <c r="N206" s="26"/>
      <c r="O206" s="26"/>
      <c r="P206" s="26"/>
      <c r="Q206" s="26"/>
      <c r="R206" s="26"/>
      <c r="S206" s="26"/>
      <c r="T206" s="26"/>
      <c r="U206" s="26"/>
      <c r="V206" s="26"/>
      <c r="W206" s="26"/>
      <c r="X206" s="26"/>
      <c r="Y206" s="26"/>
      <c r="Z206" s="26">
        <v>100</v>
      </c>
      <c r="AA206" s="26"/>
      <c r="AB206" s="26">
        <f t="shared" si="110"/>
        <v>100</v>
      </c>
      <c r="AC206" s="46"/>
      <c r="AD206" s="46"/>
      <c r="AE206" s="46"/>
      <c r="AF206" s="26">
        <f>ROUND((AD206+AE206+AC206)*$AF$4,2)</f>
        <v>0</v>
      </c>
      <c r="AG206" s="26">
        <f>ROUND((AD206+AE206+AF206+AC206)*AG$4,2)</f>
        <v>0</v>
      </c>
      <c r="AH206" s="26">
        <f>ROUND((AD206+AE206+AF206+AG206+AC206)*AH$4,2)</f>
        <v>0</v>
      </c>
      <c r="AI206" s="26">
        <f t="shared" si="106"/>
        <v>0</v>
      </c>
      <c r="AJ206" s="26">
        <f t="shared" si="107"/>
        <v>0</v>
      </c>
      <c r="AK206" s="26">
        <f t="shared" si="108"/>
        <v>0</v>
      </c>
      <c r="AL206" s="26">
        <f t="shared" si="109"/>
        <v>0</v>
      </c>
      <c r="AM206" s="76"/>
      <c r="AN206" s="52"/>
      <c r="AO206" s="86"/>
      <c r="AP206" s="50"/>
      <c r="AQ206" s="64"/>
      <c r="AR206" s="64"/>
      <c r="AS206" s="64"/>
    </row>
    <row r="207" s="4" customFormat="1" ht="48" customHeight="1" outlineLevel="2" spans="1:45">
      <c r="A207" s="72">
        <v>12</v>
      </c>
      <c r="B207" s="39" t="s">
        <v>352</v>
      </c>
      <c r="C207" s="39" t="s">
        <v>350</v>
      </c>
      <c r="D207" s="24" t="s">
        <v>351</v>
      </c>
      <c r="E207" s="71"/>
      <c r="F207" s="71"/>
      <c r="G207" s="72" t="s">
        <v>173</v>
      </c>
      <c r="H207" s="26"/>
      <c r="I207" s="26"/>
      <c r="J207" s="26"/>
      <c r="K207" s="26"/>
      <c r="L207" s="26"/>
      <c r="M207" s="26"/>
      <c r="N207" s="26"/>
      <c r="O207" s="26"/>
      <c r="P207" s="26"/>
      <c r="Q207" s="26"/>
      <c r="R207" s="26"/>
      <c r="S207" s="26"/>
      <c r="T207" s="26"/>
      <c r="U207" s="26"/>
      <c r="V207" s="26"/>
      <c r="W207" s="26"/>
      <c r="X207" s="26"/>
      <c r="Y207" s="26"/>
      <c r="Z207" s="26">
        <f>(5.105+0.7+1)+(23.896+0.7+1)+(10.054+12.535+(0.7+1)*2)+(21.007+0.7+1)+(6.658+3.446+(0.7+1)*2)+(15.361+12.93+(0.7+1)*2)+3*15+(16.893+0.7*18)+(7.926+7.75+1.005+0.311+0.7*4)+(0.304+0.469)+(0.587+0.362+1.334)+(0.362+0.587+0.612+0.587)+(5.56+5.177+0.109+0.523)*2+126.29+(6.18+0.303+0.7*2)+(0.224)*4+(1.206+0.885)*2+(0.2)*2</f>
        <v>388.17</v>
      </c>
      <c r="AA207" s="26"/>
      <c r="AB207" s="26">
        <f t="shared" si="110"/>
        <v>388.17</v>
      </c>
      <c r="AC207" s="74"/>
      <c r="AD207" s="74"/>
      <c r="AE207" s="74"/>
      <c r="AF207" s="26">
        <f>ROUND((AD207+AE207+AC207)*$AF$4,2)</f>
        <v>0</v>
      </c>
      <c r="AG207" s="26">
        <f>ROUND((AD207+AE207+AF207+AC207)*AG$4,2)</f>
        <v>0</v>
      </c>
      <c r="AH207" s="26">
        <f>ROUND((AD207+AE207+AF207+AG207+AC207)*AH$4,2)</f>
        <v>0</v>
      </c>
      <c r="AI207" s="26">
        <f t="shared" si="106"/>
        <v>0</v>
      </c>
      <c r="AJ207" s="26">
        <f t="shared" si="107"/>
        <v>0</v>
      </c>
      <c r="AK207" s="26">
        <f t="shared" si="108"/>
        <v>0</v>
      </c>
      <c r="AL207" s="26">
        <f t="shared" si="109"/>
        <v>0</v>
      </c>
      <c r="AM207" s="76"/>
      <c r="AN207" s="50"/>
      <c r="AP207" s="64"/>
      <c r="AQ207" s="64"/>
      <c r="AR207" s="64"/>
      <c r="AS207" s="64"/>
    </row>
    <row r="208" s="1" customFormat="1" ht="30" customHeight="1" outlineLevel="1" spans="1:45">
      <c r="A208" s="13" t="s">
        <v>176</v>
      </c>
      <c r="B208" s="13" t="s">
        <v>177</v>
      </c>
      <c r="C208" s="21" t="s">
        <v>400</v>
      </c>
      <c r="D208" s="36"/>
      <c r="E208" s="36"/>
      <c r="F208" s="36"/>
      <c r="G208" s="13" t="s">
        <v>179</v>
      </c>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f>AK164+AK179+AK191+AK195</f>
        <v>0</v>
      </c>
      <c r="AL208" s="16">
        <f>AL164+AL179+AL191+AL195</f>
        <v>0</v>
      </c>
      <c r="AM208" s="14"/>
      <c r="AN208" s="86"/>
      <c r="AO208" s="64"/>
      <c r="AP208" s="64"/>
      <c r="AQ208" s="64"/>
      <c r="AR208" s="64"/>
      <c r="AS208" s="64"/>
    </row>
    <row r="209" s="1" customFormat="1" ht="37" customHeight="1" spans="1:45">
      <c r="A209" s="17" t="s">
        <v>472</v>
      </c>
      <c r="B209" s="17"/>
      <c r="C209" s="17"/>
      <c r="D209" s="18"/>
      <c r="E209" s="81"/>
      <c r="F209" s="81"/>
      <c r="G209" s="81"/>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5">
        <f>AK230</f>
        <v>0</v>
      </c>
      <c r="AL209" s="85">
        <f>AL230</f>
        <v>0</v>
      </c>
      <c r="AM209" s="81"/>
      <c r="AN209" s="50"/>
      <c r="AO209" s="60"/>
      <c r="AP209" s="61"/>
      <c r="AQ209" s="60"/>
      <c r="AR209" s="60"/>
      <c r="AS209" s="60"/>
    </row>
    <row r="210" s="1" customFormat="1" ht="30" customHeight="1" outlineLevel="1" spans="1:45">
      <c r="A210" s="21" t="s">
        <v>473</v>
      </c>
      <c r="B210" s="22"/>
      <c r="C210" s="22"/>
      <c r="D210" s="24"/>
      <c r="E210" s="25"/>
      <c r="F210" s="25"/>
      <c r="G210" s="25"/>
      <c r="H210" s="26"/>
      <c r="I210" s="26"/>
      <c r="J210" s="26"/>
      <c r="K210" s="26"/>
      <c r="L210" s="26"/>
      <c r="M210" s="98"/>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16">
        <f>SUM(AK211:AK218)</f>
        <v>0</v>
      </c>
      <c r="AL210" s="16">
        <f>SUM(AL211:AL218)</f>
        <v>0</v>
      </c>
      <c r="AM210" s="25"/>
      <c r="AN210" s="100"/>
      <c r="AQ210" s="7"/>
      <c r="AR210" s="7"/>
      <c r="AS210" s="7"/>
    </row>
    <row r="211" s="1" customFormat="1" ht="48" customHeight="1" outlineLevel="2" spans="1:46">
      <c r="A211" s="25">
        <v>1</v>
      </c>
      <c r="B211" s="23" t="s">
        <v>474</v>
      </c>
      <c r="C211" s="23" t="s">
        <v>475</v>
      </c>
      <c r="D211" s="24" t="s">
        <v>476</v>
      </c>
      <c r="E211" s="27"/>
      <c r="F211" s="27"/>
      <c r="G211" s="25" t="s">
        <v>191</v>
      </c>
      <c r="H211" s="26"/>
      <c r="I211" s="26"/>
      <c r="J211" s="26"/>
      <c r="K211" s="26"/>
      <c r="L211" s="26"/>
      <c r="M211" s="26"/>
      <c r="N211" s="26"/>
      <c r="O211" s="26"/>
      <c r="P211" s="26"/>
      <c r="Q211" s="26"/>
      <c r="R211" s="26"/>
      <c r="S211" s="26"/>
      <c r="T211" s="26"/>
      <c r="U211" s="26"/>
      <c r="V211" s="26"/>
      <c r="W211" s="26"/>
      <c r="X211" s="26"/>
      <c r="Y211" s="26"/>
      <c r="Z211" s="26"/>
      <c r="AA211" s="26">
        <f>26</f>
        <v>26</v>
      </c>
      <c r="AB211" s="26">
        <f t="shared" ref="AB211:AB218" si="111">SUM(H211:AA211)</f>
        <v>26</v>
      </c>
      <c r="AC211" s="46"/>
      <c r="AD211" s="46"/>
      <c r="AE211" s="46"/>
      <c r="AF211" s="26">
        <f>ROUND((AD211+AE211+AC211)*$AF$4,2)</f>
        <v>0</v>
      </c>
      <c r="AG211" s="26">
        <f>ROUND((AD211+AE211+AF211+AC211)*AG$4,2)</f>
        <v>0</v>
      </c>
      <c r="AH211" s="26">
        <f>ROUND((AD211+AE211+AF211+AG211+AC211)*AH$4,2)</f>
        <v>0</v>
      </c>
      <c r="AI211" s="26">
        <f t="shared" ref="AI211:AI218" si="112">ROUND((AD211+AE211+AF211+AG211+AC211),2)</f>
        <v>0</v>
      </c>
      <c r="AJ211" s="26">
        <f t="shared" ref="AJ211:AJ218" si="113">ROUND((AD211+AE211+AF211+AG211+AH211+AC211),2)</f>
        <v>0</v>
      </c>
      <c r="AK211" s="26">
        <f t="shared" ref="AK211:AK218" si="114">ROUND((AI211*AB211),2)</f>
        <v>0</v>
      </c>
      <c r="AL211" s="26">
        <f t="shared" ref="AL211:AL218" si="115">ROUND((AJ211*AB211),2)</f>
        <v>0</v>
      </c>
      <c r="AM211" s="25"/>
      <c r="AN211" s="50"/>
      <c r="AO211" s="9"/>
      <c r="AP211" s="9"/>
      <c r="AQ211" s="50"/>
      <c r="AR211" s="50"/>
      <c r="AS211" s="50"/>
      <c r="AT211" s="9"/>
    </row>
    <row r="212" s="1" customFormat="1" ht="48" customHeight="1" outlineLevel="2" spans="1:46">
      <c r="A212" s="25">
        <v>2</v>
      </c>
      <c r="B212" s="22" t="s">
        <v>477</v>
      </c>
      <c r="C212" s="22" t="s">
        <v>478</v>
      </c>
      <c r="D212" s="24" t="s">
        <v>476</v>
      </c>
      <c r="E212" s="27"/>
      <c r="F212" s="27"/>
      <c r="G212" s="25" t="s">
        <v>146</v>
      </c>
      <c r="H212" s="26"/>
      <c r="I212" s="26"/>
      <c r="J212" s="26"/>
      <c r="K212" s="26"/>
      <c r="L212" s="26"/>
      <c r="M212" s="26"/>
      <c r="N212" s="26"/>
      <c r="O212" s="26"/>
      <c r="P212" s="26"/>
      <c r="Q212" s="26"/>
      <c r="R212" s="26"/>
      <c r="S212" s="26"/>
      <c r="T212" s="26"/>
      <c r="U212" s="26"/>
      <c r="V212" s="26"/>
      <c r="W212" s="26"/>
      <c r="X212" s="26"/>
      <c r="Y212" s="26"/>
      <c r="Z212" s="26"/>
      <c r="AA212" s="26">
        <f>AA211</f>
        <v>26</v>
      </c>
      <c r="AB212" s="26">
        <f t="shared" si="111"/>
        <v>26</v>
      </c>
      <c r="AC212" s="46"/>
      <c r="AD212" s="46"/>
      <c r="AE212" s="46"/>
      <c r="AF212" s="26">
        <f>ROUND((AD212+AE212+AC212)*$AF$4,2)</f>
        <v>0</v>
      </c>
      <c r="AG212" s="26">
        <f>ROUND((AD212+AE212+AF212+AC212)*AG$4,2)</f>
        <v>0</v>
      </c>
      <c r="AH212" s="26">
        <f>ROUND((AD212+AE212+AF212+AG212+AC212)*AH$4,2)</f>
        <v>0</v>
      </c>
      <c r="AI212" s="26">
        <f t="shared" si="112"/>
        <v>0</v>
      </c>
      <c r="AJ212" s="26">
        <f t="shared" si="113"/>
        <v>0</v>
      </c>
      <c r="AK212" s="26">
        <f t="shared" si="114"/>
        <v>0</v>
      </c>
      <c r="AL212" s="26">
        <f t="shared" si="115"/>
        <v>0</v>
      </c>
      <c r="AM212" s="25"/>
      <c r="AN212" s="50"/>
      <c r="AO212" s="50"/>
      <c r="AP212" s="50"/>
      <c r="AQ212" s="50"/>
      <c r="AR212" s="50"/>
      <c r="AS212" s="50"/>
      <c r="AT212" s="50"/>
    </row>
    <row r="213" s="1" customFormat="1" ht="48" customHeight="1" outlineLevel="2" spans="1:46">
      <c r="A213" s="25">
        <v>3</v>
      </c>
      <c r="B213" s="22" t="s">
        <v>479</v>
      </c>
      <c r="C213" s="22" t="s">
        <v>480</v>
      </c>
      <c r="D213" s="24" t="s">
        <v>476</v>
      </c>
      <c r="E213" s="27"/>
      <c r="F213" s="27"/>
      <c r="G213" s="25" t="s">
        <v>134</v>
      </c>
      <c r="H213" s="26"/>
      <c r="I213" s="26"/>
      <c r="J213" s="26"/>
      <c r="K213" s="26"/>
      <c r="L213" s="26"/>
      <c r="M213" s="26"/>
      <c r="N213" s="26"/>
      <c r="O213" s="26"/>
      <c r="P213" s="26"/>
      <c r="Q213" s="26"/>
      <c r="R213" s="26"/>
      <c r="S213" s="26"/>
      <c r="T213" s="26"/>
      <c r="U213" s="26"/>
      <c r="V213" s="26"/>
      <c r="W213" s="26"/>
      <c r="X213" s="26"/>
      <c r="Y213" s="26"/>
      <c r="Z213" s="26"/>
      <c r="AA213" s="26">
        <v>14</v>
      </c>
      <c r="AB213" s="26">
        <f t="shared" si="111"/>
        <v>14</v>
      </c>
      <c r="AC213" s="46"/>
      <c r="AD213" s="46"/>
      <c r="AE213" s="46"/>
      <c r="AF213" s="26">
        <f>ROUND((AD213+AE213+AC213)*$AF$4,2)</f>
        <v>0</v>
      </c>
      <c r="AG213" s="26">
        <f>ROUND((AD213+AE213+AF213+AC213)*AG$4,2)</f>
        <v>0</v>
      </c>
      <c r="AH213" s="26">
        <f>ROUND((AD213+AE213+AF213+AG213+AC213)*AH$4,2)</f>
        <v>0</v>
      </c>
      <c r="AI213" s="26">
        <f t="shared" si="112"/>
        <v>0</v>
      </c>
      <c r="AJ213" s="26">
        <f t="shared" si="113"/>
        <v>0</v>
      </c>
      <c r="AK213" s="26">
        <f t="shared" si="114"/>
        <v>0</v>
      </c>
      <c r="AL213" s="26">
        <f t="shared" si="115"/>
        <v>0</v>
      </c>
      <c r="AM213" s="23"/>
      <c r="AN213" s="52"/>
      <c r="AO213" s="50"/>
      <c r="AP213" s="50"/>
      <c r="AQ213" s="50"/>
      <c r="AR213" s="50"/>
      <c r="AS213" s="50"/>
      <c r="AT213" s="50"/>
    </row>
    <row r="214" s="1" customFormat="1" ht="48" customHeight="1" outlineLevel="2" spans="1:46">
      <c r="A214" s="25">
        <v>4</v>
      </c>
      <c r="B214" s="22" t="s">
        <v>385</v>
      </c>
      <c r="C214" s="22" t="s">
        <v>481</v>
      </c>
      <c r="D214" s="24" t="s">
        <v>476</v>
      </c>
      <c r="E214" s="27"/>
      <c r="F214" s="27"/>
      <c r="G214" s="25" t="s">
        <v>134</v>
      </c>
      <c r="H214" s="26"/>
      <c r="I214" s="26"/>
      <c r="J214" s="26"/>
      <c r="K214" s="26"/>
      <c r="L214" s="26"/>
      <c r="M214" s="26"/>
      <c r="N214" s="26"/>
      <c r="O214" s="26"/>
      <c r="P214" s="26"/>
      <c r="Q214" s="26"/>
      <c r="R214" s="26"/>
      <c r="S214" s="26"/>
      <c r="T214" s="26"/>
      <c r="U214" s="26"/>
      <c r="V214" s="26"/>
      <c r="W214" s="26"/>
      <c r="X214" s="26"/>
      <c r="Y214" s="26"/>
      <c r="Z214" s="26"/>
      <c r="AA214" s="26">
        <f>AA213</f>
        <v>14</v>
      </c>
      <c r="AB214" s="26">
        <f t="shared" si="111"/>
        <v>14</v>
      </c>
      <c r="AC214" s="46"/>
      <c r="AD214" s="46"/>
      <c r="AE214" s="46"/>
      <c r="AF214" s="26">
        <f>ROUND((AD214+AE214+AC214)*$AF$4,2)</f>
        <v>0</v>
      </c>
      <c r="AG214" s="26">
        <f>ROUND((AD214+AE214+AF214+AC214)*AG$4,2)</f>
        <v>0</v>
      </c>
      <c r="AH214" s="26">
        <f>ROUND((AD214+AE214+AF214+AG214+AC214)*AH$4,2)</f>
        <v>0</v>
      </c>
      <c r="AI214" s="26">
        <f t="shared" si="112"/>
        <v>0</v>
      </c>
      <c r="AJ214" s="26">
        <f t="shared" si="113"/>
        <v>0</v>
      </c>
      <c r="AK214" s="26">
        <f t="shared" si="114"/>
        <v>0</v>
      </c>
      <c r="AL214" s="26">
        <f t="shared" si="115"/>
        <v>0</v>
      </c>
      <c r="AM214" s="23"/>
      <c r="AN214" s="50"/>
      <c r="AO214" s="50"/>
      <c r="AP214" s="50"/>
      <c r="AQ214" s="50"/>
      <c r="AR214" s="50"/>
      <c r="AS214" s="50"/>
      <c r="AT214" s="50"/>
    </row>
    <row r="215" s="1" customFormat="1" ht="48" customHeight="1" outlineLevel="2" spans="1:46">
      <c r="A215" s="25">
        <v>5</v>
      </c>
      <c r="B215" s="22" t="s">
        <v>482</v>
      </c>
      <c r="C215" s="22" t="s">
        <v>483</v>
      </c>
      <c r="D215" s="24" t="s">
        <v>476</v>
      </c>
      <c r="E215" s="27"/>
      <c r="F215" s="27"/>
      <c r="G215" s="25" t="s">
        <v>134</v>
      </c>
      <c r="H215" s="26"/>
      <c r="I215" s="26"/>
      <c r="J215" s="26"/>
      <c r="K215" s="26"/>
      <c r="L215" s="26"/>
      <c r="M215" s="26"/>
      <c r="N215" s="26"/>
      <c r="O215" s="26"/>
      <c r="P215" s="26"/>
      <c r="Q215" s="26"/>
      <c r="R215" s="26"/>
      <c r="S215" s="26"/>
      <c r="T215" s="26"/>
      <c r="U215" s="26"/>
      <c r="V215" s="26"/>
      <c r="W215" s="26"/>
      <c r="X215" s="26"/>
      <c r="Y215" s="26"/>
      <c r="Z215" s="26"/>
      <c r="AA215" s="26">
        <v>1</v>
      </c>
      <c r="AB215" s="26">
        <f t="shared" si="111"/>
        <v>1</v>
      </c>
      <c r="AC215" s="46"/>
      <c r="AD215" s="46"/>
      <c r="AE215" s="46"/>
      <c r="AF215" s="26">
        <f>ROUND((AD215+AE215+AC215)*$AF$4,2)</f>
        <v>0</v>
      </c>
      <c r="AG215" s="26">
        <f>ROUND((AD215+AE215+AF215+AC215)*AG$4,2)</f>
        <v>0</v>
      </c>
      <c r="AH215" s="26">
        <f>ROUND((AD215+AE215+AF215+AG215+AC215)*AH$4,2)</f>
        <v>0</v>
      </c>
      <c r="AI215" s="26">
        <f t="shared" si="112"/>
        <v>0</v>
      </c>
      <c r="AJ215" s="26">
        <f t="shared" si="113"/>
        <v>0</v>
      </c>
      <c r="AK215" s="26">
        <f t="shared" si="114"/>
        <v>0</v>
      </c>
      <c r="AL215" s="26">
        <f t="shared" si="115"/>
        <v>0</v>
      </c>
      <c r="AM215" s="23"/>
      <c r="AN215" s="50"/>
      <c r="AO215" s="50"/>
      <c r="AP215" s="50"/>
      <c r="AQ215" s="50"/>
      <c r="AR215" s="50"/>
      <c r="AS215" s="50"/>
      <c r="AT215" s="50"/>
    </row>
    <row r="216" s="1" customFormat="1" ht="48" customHeight="1" outlineLevel="2" spans="1:45">
      <c r="A216" s="72">
        <v>6</v>
      </c>
      <c r="B216" s="70" t="s">
        <v>484</v>
      </c>
      <c r="C216" s="39" t="s">
        <v>485</v>
      </c>
      <c r="D216" s="24" t="s">
        <v>476</v>
      </c>
      <c r="E216" s="27"/>
      <c r="F216" s="27"/>
      <c r="G216" s="72" t="s">
        <v>134</v>
      </c>
      <c r="H216" s="92"/>
      <c r="I216" s="26"/>
      <c r="J216" s="26"/>
      <c r="K216" s="26"/>
      <c r="L216" s="26"/>
      <c r="M216" s="26"/>
      <c r="N216" s="26"/>
      <c r="O216" s="26"/>
      <c r="P216" s="26"/>
      <c r="Q216" s="26"/>
      <c r="R216" s="26"/>
      <c r="S216" s="26"/>
      <c r="T216" s="26"/>
      <c r="U216" s="26"/>
      <c r="V216" s="26"/>
      <c r="W216" s="26"/>
      <c r="X216" s="26"/>
      <c r="Y216" s="26"/>
      <c r="Z216" s="26"/>
      <c r="AA216" s="26">
        <v>1</v>
      </c>
      <c r="AB216" s="26">
        <f t="shared" si="111"/>
        <v>1</v>
      </c>
      <c r="AC216" s="46"/>
      <c r="AD216" s="46"/>
      <c r="AE216" s="46"/>
      <c r="AF216" s="26">
        <f>ROUND((AD216+AE216+AC216)*$AF$4,2)</f>
        <v>0</v>
      </c>
      <c r="AG216" s="26">
        <f>ROUND((AD216+AE216+AF216+AC216)*AG$4,2)</f>
        <v>0</v>
      </c>
      <c r="AH216" s="26">
        <f>ROUND((AD216+AE216+AF216+AG216+AC216)*AH$4,2)</f>
        <v>0</v>
      </c>
      <c r="AI216" s="26">
        <f t="shared" si="112"/>
        <v>0</v>
      </c>
      <c r="AJ216" s="26">
        <f t="shared" si="113"/>
        <v>0</v>
      </c>
      <c r="AK216" s="26">
        <f t="shared" si="114"/>
        <v>0</v>
      </c>
      <c r="AL216" s="26">
        <f t="shared" si="115"/>
        <v>0</v>
      </c>
      <c r="AM216" s="25"/>
      <c r="AN216" s="50"/>
      <c r="AQ216" s="7"/>
      <c r="AR216" s="7"/>
      <c r="AS216" s="7"/>
    </row>
    <row r="217" s="1" customFormat="1" ht="48" customHeight="1" outlineLevel="2" spans="1:45">
      <c r="A217" s="72">
        <v>7</v>
      </c>
      <c r="B217" s="70" t="s">
        <v>486</v>
      </c>
      <c r="C217" s="39" t="s">
        <v>487</v>
      </c>
      <c r="D217" s="24" t="s">
        <v>476</v>
      </c>
      <c r="E217" s="27"/>
      <c r="F217" s="27"/>
      <c r="G217" s="72" t="s">
        <v>191</v>
      </c>
      <c r="H217" s="92"/>
      <c r="I217" s="26"/>
      <c r="J217" s="26"/>
      <c r="K217" s="26"/>
      <c r="L217" s="26"/>
      <c r="M217" s="26"/>
      <c r="N217" s="26"/>
      <c r="O217" s="26"/>
      <c r="P217" s="26"/>
      <c r="Q217" s="26"/>
      <c r="R217" s="26"/>
      <c r="S217" s="26"/>
      <c r="T217" s="26"/>
      <c r="U217" s="26"/>
      <c r="V217" s="26"/>
      <c r="W217" s="26"/>
      <c r="X217" s="26"/>
      <c r="Y217" s="26"/>
      <c r="Z217" s="26"/>
      <c r="AA217" s="26">
        <v>1</v>
      </c>
      <c r="AB217" s="26">
        <f t="shared" si="111"/>
        <v>1</v>
      </c>
      <c r="AC217" s="46"/>
      <c r="AD217" s="46"/>
      <c r="AE217" s="46"/>
      <c r="AF217" s="26">
        <f>ROUND((AD217+AE217+AC217)*$AF$4,2)</f>
        <v>0</v>
      </c>
      <c r="AG217" s="26">
        <f>ROUND((AD217+AE217+AF217+AC217)*AG$4,2)</f>
        <v>0</v>
      </c>
      <c r="AH217" s="26">
        <f>ROUND((AD217+AE217+AF217+AG217+AC217)*AH$4,2)</f>
        <v>0</v>
      </c>
      <c r="AI217" s="26">
        <f t="shared" si="112"/>
        <v>0</v>
      </c>
      <c r="AJ217" s="26">
        <f t="shared" si="113"/>
        <v>0</v>
      </c>
      <c r="AK217" s="26">
        <f t="shared" si="114"/>
        <v>0</v>
      </c>
      <c r="AL217" s="26">
        <f t="shared" si="115"/>
        <v>0</v>
      </c>
      <c r="AM217" s="25"/>
      <c r="AN217" s="50"/>
      <c r="AQ217" s="7"/>
      <c r="AR217" s="7"/>
      <c r="AS217" s="7"/>
    </row>
    <row r="218" s="1" customFormat="1" ht="48" customHeight="1" outlineLevel="2" spans="1:45">
      <c r="A218" s="72">
        <v>8</v>
      </c>
      <c r="B218" s="70" t="s">
        <v>488</v>
      </c>
      <c r="C218" s="39" t="s">
        <v>489</v>
      </c>
      <c r="D218" s="24" t="s">
        <v>476</v>
      </c>
      <c r="E218" s="27"/>
      <c r="F218" s="27"/>
      <c r="G218" s="72" t="s">
        <v>191</v>
      </c>
      <c r="H218" s="92"/>
      <c r="I218" s="26"/>
      <c r="J218" s="26"/>
      <c r="K218" s="26"/>
      <c r="L218" s="26"/>
      <c r="M218" s="26"/>
      <c r="N218" s="26"/>
      <c r="O218" s="26"/>
      <c r="P218" s="26"/>
      <c r="Q218" s="26"/>
      <c r="R218" s="26"/>
      <c r="S218" s="26"/>
      <c r="T218" s="26"/>
      <c r="U218" s="26"/>
      <c r="V218" s="26"/>
      <c r="W218" s="26"/>
      <c r="X218" s="26"/>
      <c r="Y218" s="26"/>
      <c r="Z218" s="26"/>
      <c r="AA218" s="26">
        <v>1</v>
      </c>
      <c r="AB218" s="26">
        <f t="shared" si="111"/>
        <v>1</v>
      </c>
      <c r="AC218" s="46"/>
      <c r="AD218" s="46"/>
      <c r="AE218" s="46"/>
      <c r="AF218" s="26">
        <f>ROUND((AD218+AE218+AC218)*$AF$4,2)</f>
        <v>0</v>
      </c>
      <c r="AG218" s="26">
        <f>ROUND((AD218+AE218+AF218+AC218)*AG$4,2)</f>
        <v>0</v>
      </c>
      <c r="AH218" s="26">
        <f>ROUND((AD218+AE218+AF218+AG218+AC218)*AH$4,2)</f>
        <v>0</v>
      </c>
      <c r="AI218" s="26">
        <f t="shared" si="112"/>
        <v>0</v>
      </c>
      <c r="AJ218" s="26">
        <f t="shared" si="113"/>
        <v>0</v>
      </c>
      <c r="AK218" s="26">
        <f t="shared" si="114"/>
        <v>0</v>
      </c>
      <c r="AL218" s="26">
        <f t="shared" si="115"/>
        <v>0</v>
      </c>
      <c r="AM218" s="25"/>
      <c r="AN218" s="52"/>
      <c r="AO218" s="50"/>
      <c r="AP218" s="50"/>
      <c r="AQ218" s="7"/>
      <c r="AR218" s="7"/>
      <c r="AS218" s="7"/>
    </row>
    <row r="219" s="1" customFormat="1" ht="30" customHeight="1" outlineLevel="1" spans="1:45">
      <c r="A219" s="90" t="s">
        <v>490</v>
      </c>
      <c r="B219" s="70"/>
      <c r="C219" s="39"/>
      <c r="D219" s="34"/>
      <c r="E219" s="25"/>
      <c r="F219" s="25"/>
      <c r="G219" s="25"/>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16">
        <f>SUM(AK220:AK223)</f>
        <v>0</v>
      </c>
      <c r="AL219" s="16">
        <f>SUM(AL220:AL223)</f>
        <v>0</v>
      </c>
      <c r="AM219" s="25"/>
      <c r="AN219" s="100"/>
      <c r="AQ219" s="7"/>
      <c r="AR219" s="7"/>
      <c r="AS219" s="7"/>
    </row>
    <row r="220" s="1" customFormat="1" ht="48" customHeight="1" outlineLevel="2" spans="1:46">
      <c r="A220" s="72">
        <v>1</v>
      </c>
      <c r="B220" s="70" t="s">
        <v>491</v>
      </c>
      <c r="C220" s="39" t="s">
        <v>492</v>
      </c>
      <c r="D220" s="34" t="s">
        <v>476</v>
      </c>
      <c r="E220" s="27"/>
      <c r="F220" s="27"/>
      <c r="G220" s="72" t="s">
        <v>134</v>
      </c>
      <c r="H220" s="26"/>
      <c r="I220" s="26"/>
      <c r="J220" s="26"/>
      <c r="K220" s="26"/>
      <c r="L220" s="26"/>
      <c r="M220" s="26"/>
      <c r="N220" s="26"/>
      <c r="O220" s="26"/>
      <c r="P220" s="26"/>
      <c r="Q220" s="26"/>
      <c r="R220" s="26"/>
      <c r="S220" s="26"/>
      <c r="T220" s="26"/>
      <c r="U220" s="26"/>
      <c r="V220" s="26"/>
      <c r="W220" s="26"/>
      <c r="X220" s="26"/>
      <c r="Y220" s="26"/>
      <c r="Z220" s="26"/>
      <c r="AA220" s="26">
        <v>1</v>
      </c>
      <c r="AB220" s="26">
        <f t="shared" ref="AB220:AB223" si="116">SUM(H220:AA220)</f>
        <v>1</v>
      </c>
      <c r="AC220" s="46"/>
      <c r="AD220" s="46"/>
      <c r="AE220" s="46"/>
      <c r="AF220" s="26">
        <f>ROUND((AD220+AE220+AC220)*$AF$4,2)</f>
        <v>0</v>
      </c>
      <c r="AG220" s="26">
        <f>ROUND((AD220+AE220+AF220+AC220)*AG$4,2)</f>
        <v>0</v>
      </c>
      <c r="AH220" s="26">
        <f>ROUND((AD220+AE220+AF220+AG220+AC220)*AH$4,2)</f>
        <v>0</v>
      </c>
      <c r="AI220" s="26">
        <f t="shared" ref="AI220:AI223" si="117">ROUND((AD220+AE220+AF220+AG220+AC220),2)</f>
        <v>0</v>
      </c>
      <c r="AJ220" s="26">
        <f t="shared" ref="AJ220:AJ223" si="118">ROUND((AD220+AE220+AF220+AG220+AH220+AC220),2)</f>
        <v>0</v>
      </c>
      <c r="AK220" s="26">
        <f t="shared" ref="AK220:AK223" si="119">ROUND((AI220*AB220),2)</f>
        <v>0</v>
      </c>
      <c r="AL220" s="26">
        <f t="shared" ref="AL220:AL223" si="120">ROUND((AJ220*AB220),2)</f>
        <v>0</v>
      </c>
      <c r="AM220" s="25"/>
      <c r="AN220" s="52"/>
      <c r="AO220" s="50"/>
      <c r="AP220" s="50"/>
      <c r="AQ220" s="50"/>
      <c r="AR220" s="50"/>
      <c r="AS220" s="50"/>
      <c r="AT220" s="50"/>
    </row>
    <row r="221" s="1" customFormat="1" ht="48" customHeight="1" outlineLevel="2" spans="1:46">
      <c r="A221" s="72">
        <v>2</v>
      </c>
      <c r="B221" s="70" t="s">
        <v>493</v>
      </c>
      <c r="C221" s="39" t="s">
        <v>494</v>
      </c>
      <c r="D221" s="34" t="s">
        <v>476</v>
      </c>
      <c r="E221" s="27"/>
      <c r="F221" s="27"/>
      <c r="G221" s="72" t="s">
        <v>191</v>
      </c>
      <c r="H221" s="26"/>
      <c r="I221" s="26"/>
      <c r="J221" s="26"/>
      <c r="K221" s="26"/>
      <c r="L221" s="26"/>
      <c r="M221" s="26"/>
      <c r="N221" s="26"/>
      <c r="O221" s="26"/>
      <c r="P221" s="26"/>
      <c r="Q221" s="26"/>
      <c r="R221" s="26"/>
      <c r="S221" s="26"/>
      <c r="T221" s="26"/>
      <c r="U221" s="26"/>
      <c r="V221" s="26"/>
      <c r="W221" s="26"/>
      <c r="X221" s="26"/>
      <c r="Y221" s="26"/>
      <c r="Z221" s="26"/>
      <c r="AA221" s="26">
        <v>1</v>
      </c>
      <c r="AB221" s="26">
        <f t="shared" si="116"/>
        <v>1</v>
      </c>
      <c r="AC221" s="46"/>
      <c r="AD221" s="46"/>
      <c r="AE221" s="46"/>
      <c r="AF221" s="26">
        <f>ROUND((AD221+AE221+AC221)*$AF$4,2)</f>
        <v>0</v>
      </c>
      <c r="AG221" s="26">
        <f>ROUND((AD221+AE221+AF221+AC221)*AG$4,2)</f>
        <v>0</v>
      </c>
      <c r="AH221" s="26">
        <f>ROUND((AD221+AE221+AF221+AG221+AC221)*AH$4,2)</f>
        <v>0</v>
      </c>
      <c r="AI221" s="26">
        <f t="shared" si="117"/>
        <v>0</v>
      </c>
      <c r="AJ221" s="26">
        <f t="shared" si="118"/>
        <v>0</v>
      </c>
      <c r="AK221" s="26">
        <f t="shared" si="119"/>
        <v>0</v>
      </c>
      <c r="AL221" s="26">
        <f t="shared" si="120"/>
        <v>0</v>
      </c>
      <c r="AM221" s="25"/>
      <c r="AN221" s="52"/>
      <c r="AO221" s="86"/>
      <c r="AP221" s="9"/>
      <c r="AQ221" s="50"/>
      <c r="AR221" s="50"/>
      <c r="AS221" s="50"/>
      <c r="AT221" s="9"/>
    </row>
    <row r="222" s="1" customFormat="1" ht="48" customHeight="1" outlineLevel="2" spans="1:46">
      <c r="A222" s="72">
        <v>3</v>
      </c>
      <c r="B222" s="70" t="s">
        <v>391</v>
      </c>
      <c r="C222" s="39" t="s">
        <v>495</v>
      </c>
      <c r="D222" s="34" t="s">
        <v>476</v>
      </c>
      <c r="E222" s="27"/>
      <c r="F222" s="27"/>
      <c r="G222" s="72" t="s">
        <v>146</v>
      </c>
      <c r="H222" s="26"/>
      <c r="I222" s="26"/>
      <c r="J222" s="26"/>
      <c r="K222" s="26"/>
      <c r="L222" s="26"/>
      <c r="M222" s="26"/>
      <c r="N222" s="26"/>
      <c r="O222" s="26"/>
      <c r="P222" s="26"/>
      <c r="Q222" s="26"/>
      <c r="R222" s="26"/>
      <c r="S222" s="26"/>
      <c r="T222" s="26"/>
      <c r="U222" s="26"/>
      <c r="V222" s="26"/>
      <c r="W222" s="26"/>
      <c r="X222" s="26"/>
      <c r="Y222" s="26"/>
      <c r="Z222" s="26"/>
      <c r="AA222" s="26">
        <v>1</v>
      </c>
      <c r="AB222" s="26">
        <f t="shared" si="116"/>
        <v>1</v>
      </c>
      <c r="AC222" s="46"/>
      <c r="AD222" s="46"/>
      <c r="AE222" s="46"/>
      <c r="AF222" s="26">
        <f>ROUND((AD222+AE222+AC222)*$AF$4,2)</f>
        <v>0</v>
      </c>
      <c r="AG222" s="26">
        <f>ROUND((AD222+AE222+AF222+AC222)*AG$4,2)</f>
        <v>0</v>
      </c>
      <c r="AH222" s="26">
        <f>ROUND((AD222+AE222+AF222+AG222+AC222)*AH$4,2)</f>
        <v>0</v>
      </c>
      <c r="AI222" s="26">
        <f t="shared" si="117"/>
        <v>0</v>
      </c>
      <c r="AJ222" s="26">
        <f t="shared" si="118"/>
        <v>0</v>
      </c>
      <c r="AK222" s="26">
        <f t="shared" si="119"/>
        <v>0</v>
      </c>
      <c r="AL222" s="26">
        <f t="shared" si="120"/>
        <v>0</v>
      </c>
      <c r="AM222" s="25"/>
      <c r="AN222" s="50"/>
      <c r="AO222" s="86"/>
      <c r="AP222" s="9"/>
      <c r="AQ222" s="50"/>
      <c r="AR222" s="50"/>
      <c r="AS222" s="50"/>
      <c r="AT222" s="9"/>
    </row>
    <row r="223" s="1" customFormat="1" ht="48" outlineLevel="2" spans="1:45">
      <c r="A223" s="72">
        <v>4</v>
      </c>
      <c r="B223" s="70" t="s">
        <v>239</v>
      </c>
      <c r="C223" s="39" t="s">
        <v>496</v>
      </c>
      <c r="D223" s="34" t="s">
        <v>476</v>
      </c>
      <c r="E223" s="27"/>
      <c r="F223" s="27"/>
      <c r="G223" s="72" t="s">
        <v>146</v>
      </c>
      <c r="H223" s="26"/>
      <c r="I223" s="26"/>
      <c r="J223" s="26"/>
      <c r="K223" s="26"/>
      <c r="L223" s="26"/>
      <c r="M223" s="26"/>
      <c r="N223" s="26"/>
      <c r="O223" s="26"/>
      <c r="P223" s="26"/>
      <c r="Q223" s="26"/>
      <c r="R223" s="26"/>
      <c r="S223" s="26"/>
      <c r="T223" s="26"/>
      <c r="U223" s="26"/>
      <c r="V223" s="26"/>
      <c r="W223" s="26"/>
      <c r="X223" s="26"/>
      <c r="Y223" s="26"/>
      <c r="Z223" s="26"/>
      <c r="AA223" s="26">
        <v>1</v>
      </c>
      <c r="AB223" s="26">
        <f t="shared" si="116"/>
        <v>1</v>
      </c>
      <c r="AC223" s="46"/>
      <c r="AD223" s="46"/>
      <c r="AE223" s="46"/>
      <c r="AF223" s="26">
        <f>ROUND((AD223+AE223+AC223)*$AF$4,2)</f>
        <v>0</v>
      </c>
      <c r="AG223" s="26">
        <f>ROUND((AD223+AE223+AF223+AC223)*AG$4,2)</f>
        <v>0</v>
      </c>
      <c r="AH223" s="26">
        <f>ROUND((AD223+AE223+AF223+AG223+AC223)*AH$4,2)</f>
        <v>0</v>
      </c>
      <c r="AI223" s="26">
        <f t="shared" si="117"/>
        <v>0</v>
      </c>
      <c r="AJ223" s="26">
        <f t="shared" si="118"/>
        <v>0</v>
      </c>
      <c r="AK223" s="26">
        <f t="shared" si="119"/>
        <v>0</v>
      </c>
      <c r="AL223" s="26">
        <f t="shared" si="120"/>
        <v>0</v>
      </c>
      <c r="AM223" s="25"/>
      <c r="AN223" s="52"/>
      <c r="AO223" s="64"/>
      <c r="AP223" s="65"/>
      <c r="AQ223" s="64"/>
      <c r="AR223" s="64"/>
      <c r="AS223" s="64"/>
    </row>
    <row r="224" s="1" customFormat="1" ht="30" customHeight="1" outlineLevel="1" spans="1:45">
      <c r="A224" s="21" t="s">
        <v>497</v>
      </c>
      <c r="B224" s="22"/>
      <c r="C224" s="22"/>
      <c r="D224" s="24"/>
      <c r="E224" s="25"/>
      <c r="F224" s="25"/>
      <c r="G224" s="25"/>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16">
        <f>SUM(AK225:AK229)</f>
        <v>0</v>
      </c>
      <c r="AL224" s="16">
        <f>SUM(AL225:AL229)</f>
        <v>0</v>
      </c>
      <c r="AM224" s="25"/>
      <c r="AN224" s="100"/>
      <c r="AQ224" s="7"/>
      <c r="AR224" s="7"/>
      <c r="AS224" s="7"/>
    </row>
    <row r="225" s="1" customFormat="1" ht="48" customHeight="1" outlineLevel="2" spans="1:46">
      <c r="A225" s="25">
        <v>1</v>
      </c>
      <c r="B225" s="23" t="s">
        <v>498</v>
      </c>
      <c r="C225" s="22" t="s">
        <v>499</v>
      </c>
      <c r="D225" s="24" t="s">
        <v>162</v>
      </c>
      <c r="E225" s="27"/>
      <c r="F225" s="27"/>
      <c r="G225" s="25" t="s">
        <v>173</v>
      </c>
      <c r="H225" s="26"/>
      <c r="I225" s="26"/>
      <c r="J225" s="26"/>
      <c r="K225" s="26"/>
      <c r="L225" s="26"/>
      <c r="M225" s="26"/>
      <c r="N225" s="26"/>
      <c r="O225" s="26"/>
      <c r="P225" s="26"/>
      <c r="Q225" s="26"/>
      <c r="R225" s="26"/>
      <c r="S225" s="26"/>
      <c r="T225" s="26"/>
      <c r="U225" s="26"/>
      <c r="V225" s="26"/>
      <c r="W225" s="26"/>
      <c r="X225" s="26"/>
      <c r="Y225" s="26"/>
      <c r="Z225" s="26"/>
      <c r="AA225" s="26">
        <v>615.269</v>
      </c>
      <c r="AB225" s="26">
        <f t="shared" ref="AB225:AB229" si="121">SUM(H225:AA225)</f>
        <v>615.269</v>
      </c>
      <c r="AC225" s="46"/>
      <c r="AD225" s="46"/>
      <c r="AE225" s="46"/>
      <c r="AF225" s="26">
        <f>ROUND((AD225+AE225+AC225)*$AF$4,2)</f>
        <v>0</v>
      </c>
      <c r="AG225" s="26">
        <f>ROUND((AD225+AE225+AF225+AC225)*AG$4,2)</f>
        <v>0</v>
      </c>
      <c r="AH225" s="26">
        <f>ROUND((AD225+AE225+AF225+AG225+AC225)*AH$4,2)</f>
        <v>0</v>
      </c>
      <c r="AI225" s="26">
        <f t="shared" ref="AI225:AI229" si="122">ROUND((AD225+AE225+AF225+AG225+AC225),2)</f>
        <v>0</v>
      </c>
      <c r="AJ225" s="26">
        <f t="shared" ref="AJ225:AJ229" si="123">ROUND((AD225+AE225+AF225+AG225+AH225+AC225),2)</f>
        <v>0</v>
      </c>
      <c r="AK225" s="26">
        <f t="shared" ref="AK225:AK229" si="124">ROUND((AI225*AB225),2)</f>
        <v>0</v>
      </c>
      <c r="AL225" s="26">
        <f t="shared" ref="AL225:AL229" si="125">ROUND((AJ225*AB225),2)</f>
        <v>0</v>
      </c>
      <c r="AM225" s="25"/>
      <c r="AN225" s="50"/>
      <c r="AO225" s="50"/>
      <c r="AP225" s="50"/>
      <c r="AQ225" s="50"/>
      <c r="AR225" s="50"/>
      <c r="AS225" s="50"/>
      <c r="AT225" s="50"/>
    </row>
    <row r="226" s="1" customFormat="1" ht="48" customHeight="1" outlineLevel="2" spans="1:46">
      <c r="A226" s="25">
        <v>2</v>
      </c>
      <c r="B226" s="23" t="s">
        <v>500</v>
      </c>
      <c r="C226" s="22" t="s">
        <v>501</v>
      </c>
      <c r="D226" s="24" t="s">
        <v>162</v>
      </c>
      <c r="E226" s="27"/>
      <c r="F226" s="27"/>
      <c r="G226" s="25" t="s">
        <v>173</v>
      </c>
      <c r="H226" s="26"/>
      <c r="I226" s="26"/>
      <c r="J226" s="26"/>
      <c r="K226" s="26"/>
      <c r="L226" s="26"/>
      <c r="M226" s="26"/>
      <c r="N226" s="26"/>
      <c r="O226" s="26"/>
      <c r="P226" s="26"/>
      <c r="Q226" s="26"/>
      <c r="R226" s="26"/>
      <c r="S226" s="26"/>
      <c r="T226" s="26"/>
      <c r="U226" s="26"/>
      <c r="V226" s="26"/>
      <c r="W226" s="26"/>
      <c r="X226" s="26"/>
      <c r="Y226" s="26"/>
      <c r="Z226" s="26"/>
      <c r="AA226" s="26">
        <f>1047.89</f>
        <v>1047.89</v>
      </c>
      <c r="AB226" s="26">
        <f t="shared" si="121"/>
        <v>1047.89</v>
      </c>
      <c r="AC226" s="46"/>
      <c r="AD226" s="46"/>
      <c r="AE226" s="46"/>
      <c r="AF226" s="26">
        <f>ROUND((AD226+AE226+AC226)*$AF$4,2)</f>
        <v>0</v>
      </c>
      <c r="AG226" s="26">
        <f>ROUND((AD226+AE226+AF226+AC226)*AG$4,2)</f>
        <v>0</v>
      </c>
      <c r="AH226" s="26">
        <f>ROUND((AD226+AE226+AF226+AG226+AC226)*AH$4,2)</f>
        <v>0</v>
      </c>
      <c r="AI226" s="26">
        <f t="shared" si="122"/>
        <v>0</v>
      </c>
      <c r="AJ226" s="26">
        <f t="shared" si="123"/>
        <v>0</v>
      </c>
      <c r="AK226" s="26">
        <f t="shared" si="124"/>
        <v>0</v>
      </c>
      <c r="AL226" s="26">
        <f t="shared" si="125"/>
        <v>0</v>
      </c>
      <c r="AM226" s="25"/>
      <c r="AN226" s="52"/>
      <c r="AO226" s="50"/>
      <c r="AP226" s="50"/>
      <c r="AQ226" s="50"/>
      <c r="AR226" s="50"/>
      <c r="AS226" s="50"/>
      <c r="AT226" s="50"/>
    </row>
    <row r="227" s="1" customFormat="1" ht="48" customHeight="1" outlineLevel="2" spans="1:46">
      <c r="A227" s="25">
        <v>3</v>
      </c>
      <c r="B227" s="23" t="s">
        <v>502</v>
      </c>
      <c r="C227" s="22" t="s">
        <v>503</v>
      </c>
      <c r="D227" s="24" t="s">
        <v>162</v>
      </c>
      <c r="E227" s="27"/>
      <c r="F227" s="27"/>
      <c r="G227" s="25" t="s">
        <v>173</v>
      </c>
      <c r="H227" s="26"/>
      <c r="I227" s="26"/>
      <c r="J227" s="26"/>
      <c r="K227" s="26"/>
      <c r="L227" s="26"/>
      <c r="M227" s="26"/>
      <c r="N227" s="26"/>
      <c r="O227" s="26"/>
      <c r="P227" s="26"/>
      <c r="Q227" s="26"/>
      <c r="R227" s="26"/>
      <c r="S227" s="26"/>
      <c r="T227" s="26"/>
      <c r="U227" s="26"/>
      <c r="V227" s="26"/>
      <c r="W227" s="26"/>
      <c r="X227" s="26"/>
      <c r="Y227" s="26"/>
      <c r="Z227" s="26"/>
      <c r="AA227" s="26">
        <f>AA226*1.025</f>
        <v>1074.08725</v>
      </c>
      <c r="AB227" s="26">
        <f t="shared" si="121"/>
        <v>1074.08725</v>
      </c>
      <c r="AC227" s="46"/>
      <c r="AD227" s="46"/>
      <c r="AE227" s="46"/>
      <c r="AF227" s="26">
        <f>ROUND((AD227+AE227+AC227)*$AF$4,2)</f>
        <v>0</v>
      </c>
      <c r="AG227" s="26">
        <f>ROUND((AD227+AE227+AF227+AC227)*AG$4,2)</f>
        <v>0</v>
      </c>
      <c r="AH227" s="26">
        <f>ROUND((AD227+AE227+AF227+AG227+AC227)*AH$4,2)</f>
        <v>0</v>
      </c>
      <c r="AI227" s="26">
        <f t="shared" si="122"/>
        <v>0</v>
      </c>
      <c r="AJ227" s="26">
        <f t="shared" si="123"/>
        <v>0</v>
      </c>
      <c r="AK227" s="26">
        <f t="shared" si="124"/>
        <v>0</v>
      </c>
      <c r="AL227" s="26">
        <f t="shared" si="125"/>
        <v>0</v>
      </c>
      <c r="AM227" s="25"/>
      <c r="AN227" s="50"/>
      <c r="AO227" s="50"/>
      <c r="AP227" s="50"/>
      <c r="AQ227" s="50"/>
      <c r="AR227" s="50"/>
      <c r="AS227" s="50"/>
      <c r="AT227" s="50"/>
    </row>
    <row r="228" s="1" customFormat="1" ht="48" customHeight="1" outlineLevel="2" spans="1:46">
      <c r="A228" s="25">
        <v>4</v>
      </c>
      <c r="B228" s="39" t="s">
        <v>352</v>
      </c>
      <c r="C228" s="39" t="s">
        <v>350</v>
      </c>
      <c r="D228" s="24" t="s">
        <v>250</v>
      </c>
      <c r="E228" s="27"/>
      <c r="F228" s="27"/>
      <c r="G228" s="25" t="s">
        <v>173</v>
      </c>
      <c r="H228" s="26"/>
      <c r="I228" s="26"/>
      <c r="J228" s="26"/>
      <c r="K228" s="26"/>
      <c r="L228" s="26"/>
      <c r="M228" s="26"/>
      <c r="N228" s="26"/>
      <c r="O228" s="26"/>
      <c r="P228" s="26"/>
      <c r="Q228" s="26"/>
      <c r="R228" s="26"/>
      <c r="S228" s="26"/>
      <c r="T228" s="26"/>
      <c r="U228" s="26"/>
      <c r="V228" s="26"/>
      <c r="W228" s="26"/>
      <c r="X228" s="26"/>
      <c r="Y228" s="26"/>
      <c r="Z228" s="26"/>
      <c r="AA228" s="26">
        <v>300</v>
      </c>
      <c r="AB228" s="26">
        <f t="shared" si="121"/>
        <v>300</v>
      </c>
      <c r="AC228" s="74"/>
      <c r="AD228" s="74"/>
      <c r="AE228" s="74"/>
      <c r="AF228" s="26">
        <f>ROUND((AD228+AE228+AC228)*$AF$4,2)</f>
        <v>0</v>
      </c>
      <c r="AG228" s="26">
        <f>ROUND((AD228+AE228+AF228+AC228)*AG$4,2)</f>
        <v>0</v>
      </c>
      <c r="AH228" s="26">
        <f>ROUND((AD228+AE228+AF228+AG228+AC228)*AH$4,2)</f>
        <v>0</v>
      </c>
      <c r="AI228" s="26">
        <f t="shared" si="122"/>
        <v>0</v>
      </c>
      <c r="AJ228" s="26">
        <f t="shared" si="123"/>
        <v>0</v>
      </c>
      <c r="AK228" s="26">
        <f t="shared" si="124"/>
        <v>0</v>
      </c>
      <c r="AL228" s="26">
        <f t="shared" si="125"/>
        <v>0</v>
      </c>
      <c r="AM228" s="25"/>
      <c r="AN228" s="50"/>
      <c r="AO228" s="86"/>
      <c r="AP228" s="50"/>
      <c r="AQ228" s="50"/>
      <c r="AR228" s="50"/>
      <c r="AS228" s="50"/>
      <c r="AT228" s="50"/>
    </row>
    <row r="229" s="1" customFormat="1" ht="48" customHeight="1" outlineLevel="2" spans="1:46">
      <c r="A229" s="25">
        <v>5</v>
      </c>
      <c r="B229" s="39" t="s">
        <v>470</v>
      </c>
      <c r="C229" s="39" t="s">
        <v>471</v>
      </c>
      <c r="D229" s="24" t="s">
        <v>250</v>
      </c>
      <c r="E229" s="27"/>
      <c r="F229" s="27"/>
      <c r="G229" s="25" t="s">
        <v>173</v>
      </c>
      <c r="H229" s="26"/>
      <c r="I229" s="26"/>
      <c r="J229" s="26"/>
      <c r="K229" s="26"/>
      <c r="L229" s="26"/>
      <c r="M229" s="26"/>
      <c r="N229" s="26"/>
      <c r="O229" s="26"/>
      <c r="P229" s="26"/>
      <c r="Q229" s="26"/>
      <c r="R229" s="26"/>
      <c r="S229" s="26"/>
      <c r="T229" s="26"/>
      <c r="U229" s="26"/>
      <c r="V229" s="26"/>
      <c r="W229" s="26"/>
      <c r="X229" s="26"/>
      <c r="Y229" s="26"/>
      <c r="Z229" s="26"/>
      <c r="AA229" s="26">
        <v>300</v>
      </c>
      <c r="AB229" s="26">
        <f t="shared" si="121"/>
        <v>300</v>
      </c>
      <c r="AC229" s="46"/>
      <c r="AD229" s="46"/>
      <c r="AE229" s="46"/>
      <c r="AF229" s="26">
        <f>ROUND((AD229+AE229+AC229)*$AF$4,2)</f>
        <v>0</v>
      </c>
      <c r="AG229" s="26">
        <f>ROUND((AD229+AE229+AF229+AC229)*AG$4,2)</f>
        <v>0</v>
      </c>
      <c r="AH229" s="26">
        <f>ROUND((AD229+AE229+AF229+AG229+AC229)*AH$4,2)</f>
        <v>0</v>
      </c>
      <c r="AI229" s="26">
        <f t="shared" si="122"/>
        <v>0</v>
      </c>
      <c r="AJ229" s="26">
        <f t="shared" si="123"/>
        <v>0</v>
      </c>
      <c r="AK229" s="26">
        <f t="shared" si="124"/>
        <v>0</v>
      </c>
      <c r="AL229" s="26">
        <f t="shared" si="125"/>
        <v>0</v>
      </c>
      <c r="AM229" s="25"/>
      <c r="AN229" s="52"/>
      <c r="AO229" s="86"/>
      <c r="AP229" s="50"/>
      <c r="AQ229" s="50"/>
      <c r="AR229" s="50"/>
      <c r="AS229" s="50"/>
      <c r="AT229" s="50"/>
    </row>
    <row r="230" s="1" customFormat="1" ht="30" customHeight="1" outlineLevel="1" spans="1:45">
      <c r="A230" s="13" t="s">
        <v>176</v>
      </c>
      <c r="B230" s="13" t="s">
        <v>177</v>
      </c>
      <c r="C230" s="21" t="s">
        <v>178</v>
      </c>
      <c r="D230" s="36"/>
      <c r="E230" s="36"/>
      <c r="F230" s="36"/>
      <c r="G230" s="13" t="s">
        <v>179</v>
      </c>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f>AK210+AK219+AK224</f>
        <v>0</v>
      </c>
      <c r="AL230" s="16">
        <f>AL210+AL219+AL224</f>
        <v>0</v>
      </c>
      <c r="AM230" s="14"/>
      <c r="AN230" s="100"/>
      <c r="AQ230" s="7"/>
      <c r="AR230" s="7"/>
      <c r="AS230" s="7"/>
    </row>
    <row r="231" s="1" customFormat="1" ht="37" customHeight="1" spans="1:45">
      <c r="A231" s="17" t="s">
        <v>504</v>
      </c>
      <c r="B231" s="17"/>
      <c r="C231" s="17"/>
      <c r="D231" s="18"/>
      <c r="E231" s="81"/>
      <c r="F231" s="81"/>
      <c r="G231" s="81"/>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5">
        <f>AK236</f>
        <v>0</v>
      </c>
      <c r="AL231" s="85">
        <f>AL236</f>
        <v>0</v>
      </c>
      <c r="AM231" s="81"/>
      <c r="AN231" s="50"/>
      <c r="AO231" s="60"/>
      <c r="AP231" s="61"/>
      <c r="AQ231" s="60"/>
      <c r="AR231" s="60"/>
      <c r="AS231" s="60"/>
    </row>
    <row r="232" s="1" customFormat="1" ht="30" customHeight="1" outlineLevel="1" spans="1:45">
      <c r="A232" s="21" t="s">
        <v>505</v>
      </c>
      <c r="B232" s="22"/>
      <c r="C232" s="22"/>
      <c r="D232" s="24"/>
      <c r="E232" s="25"/>
      <c r="F232" s="25"/>
      <c r="G232" s="25"/>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16">
        <f>SUM(AK233:AK235)</f>
        <v>0</v>
      </c>
      <c r="AL232" s="16">
        <f>SUM(AL233:AL235)</f>
        <v>0</v>
      </c>
      <c r="AM232" s="23"/>
      <c r="AN232" s="101"/>
      <c r="AQ232" s="7"/>
      <c r="AR232" s="7"/>
      <c r="AS232" s="7"/>
    </row>
    <row r="233" s="1" customFormat="1" ht="48" customHeight="1" outlineLevel="2" spans="1:46">
      <c r="A233" s="25">
        <v>1</v>
      </c>
      <c r="B233" s="23" t="s">
        <v>506</v>
      </c>
      <c r="C233" s="22" t="s">
        <v>507</v>
      </c>
      <c r="D233" s="24" t="s">
        <v>162</v>
      </c>
      <c r="E233" s="27"/>
      <c r="F233" s="27"/>
      <c r="G233" s="25" t="s">
        <v>173</v>
      </c>
      <c r="H233" s="26"/>
      <c r="I233" s="26"/>
      <c r="J233" s="26"/>
      <c r="K233" s="26"/>
      <c r="L233" s="26"/>
      <c r="M233" s="26"/>
      <c r="N233" s="26"/>
      <c r="O233" s="26"/>
      <c r="P233" s="26"/>
      <c r="Q233" s="26"/>
      <c r="R233" s="26"/>
      <c r="S233" s="26"/>
      <c r="T233" s="26"/>
      <c r="U233" s="26"/>
      <c r="V233" s="26"/>
      <c r="W233" s="26"/>
      <c r="X233" s="26"/>
      <c r="Y233" s="26"/>
      <c r="Z233" s="26"/>
      <c r="AA233" s="26"/>
      <c r="AB233" s="26"/>
      <c r="AC233" s="46"/>
      <c r="AD233" s="46"/>
      <c r="AE233" s="46"/>
      <c r="AF233" s="26">
        <f>ROUND((AD233+AE233+AC233)*$AF$4,2)</f>
        <v>0</v>
      </c>
      <c r="AG233" s="26">
        <f>ROUND((AD233+AE233+AF233+AC233)*AG$4,2)</f>
        <v>0</v>
      </c>
      <c r="AH233" s="26">
        <f>ROUND((AD233+AE233+AF233+AG233+AC233)*AH$4,2)</f>
        <v>0</v>
      </c>
      <c r="AI233" s="26">
        <f t="shared" ref="AI233:AI235" si="126">ROUND((AD233+AE233+AF233+AG233+AC233),2)</f>
        <v>0</v>
      </c>
      <c r="AJ233" s="26">
        <f t="shared" ref="AJ233:AJ235" si="127">ROUND((AD233+AE233+AF233+AG233+AH233+AC233),2)</f>
        <v>0</v>
      </c>
      <c r="AK233" s="26">
        <f t="shared" ref="AK233:AK235" si="128">ROUND((AI233*AB233),2)</f>
        <v>0</v>
      </c>
      <c r="AL233" s="26">
        <f t="shared" ref="AL233:AL235" si="129">ROUND((AJ233*AB233),2)</f>
        <v>0</v>
      </c>
      <c r="AM233" s="24" t="s">
        <v>508</v>
      </c>
      <c r="AN233" s="50"/>
      <c r="AO233" s="50"/>
      <c r="AP233" s="50"/>
      <c r="AQ233" s="50"/>
      <c r="AR233" s="50"/>
      <c r="AS233" s="50"/>
      <c r="AT233" s="50"/>
    </row>
    <row r="234" s="1" customFormat="1" ht="48" customHeight="1" outlineLevel="2" spans="1:46">
      <c r="A234" s="25">
        <v>2</v>
      </c>
      <c r="B234" s="23" t="s">
        <v>509</v>
      </c>
      <c r="C234" s="22" t="s">
        <v>510</v>
      </c>
      <c r="D234" s="24" t="s">
        <v>162</v>
      </c>
      <c r="E234" s="27"/>
      <c r="F234" s="27"/>
      <c r="G234" s="25" t="s">
        <v>173</v>
      </c>
      <c r="H234" s="26"/>
      <c r="I234" s="26"/>
      <c r="J234" s="26"/>
      <c r="K234" s="26"/>
      <c r="L234" s="26"/>
      <c r="M234" s="26"/>
      <c r="N234" s="26"/>
      <c r="O234" s="26"/>
      <c r="P234" s="26"/>
      <c r="Q234" s="26"/>
      <c r="R234" s="26"/>
      <c r="S234" s="26"/>
      <c r="T234" s="26"/>
      <c r="U234" s="26"/>
      <c r="V234" s="26"/>
      <c r="W234" s="26"/>
      <c r="X234" s="26"/>
      <c r="Y234" s="26"/>
      <c r="Z234" s="26"/>
      <c r="AA234" s="26"/>
      <c r="AB234" s="26"/>
      <c r="AC234" s="46"/>
      <c r="AD234" s="46"/>
      <c r="AE234" s="46"/>
      <c r="AF234" s="26">
        <f>ROUND((AD234+AE234+AC234)*$AF$4,2)</f>
        <v>0</v>
      </c>
      <c r="AG234" s="26">
        <f>ROUND((AD234+AE234+AF234+AC234)*AG$4,2)</f>
        <v>0</v>
      </c>
      <c r="AH234" s="26">
        <f>ROUND((AD234+AE234+AF234+AG234+AC234)*AH$4,2)</f>
        <v>0</v>
      </c>
      <c r="AI234" s="26">
        <f t="shared" si="126"/>
        <v>0</v>
      </c>
      <c r="AJ234" s="26">
        <f t="shared" si="127"/>
        <v>0</v>
      </c>
      <c r="AK234" s="26">
        <f t="shared" si="128"/>
        <v>0</v>
      </c>
      <c r="AL234" s="26">
        <f t="shared" si="129"/>
        <v>0</v>
      </c>
      <c r="AM234" s="24"/>
      <c r="AN234" s="52"/>
      <c r="AO234" s="50"/>
      <c r="AP234" s="50"/>
      <c r="AQ234" s="50"/>
      <c r="AR234" s="50"/>
      <c r="AS234" s="50"/>
      <c r="AT234" s="50"/>
    </row>
    <row r="235" s="1" customFormat="1" ht="48" customHeight="1" outlineLevel="2" spans="1:46">
      <c r="A235" s="25">
        <v>3</v>
      </c>
      <c r="B235" s="23" t="s">
        <v>468</v>
      </c>
      <c r="C235" s="22" t="s">
        <v>511</v>
      </c>
      <c r="D235" s="24" t="s">
        <v>351</v>
      </c>
      <c r="E235" s="27"/>
      <c r="F235" s="27"/>
      <c r="G235" s="25" t="s">
        <v>173</v>
      </c>
      <c r="H235" s="26"/>
      <c r="I235" s="26"/>
      <c r="J235" s="26"/>
      <c r="K235" s="26"/>
      <c r="L235" s="26"/>
      <c r="M235" s="26"/>
      <c r="N235" s="26"/>
      <c r="O235" s="26"/>
      <c r="P235" s="26"/>
      <c r="Q235" s="26"/>
      <c r="R235" s="26"/>
      <c r="S235" s="26"/>
      <c r="T235" s="26"/>
      <c r="U235" s="26"/>
      <c r="V235" s="26"/>
      <c r="W235" s="26"/>
      <c r="X235" s="26"/>
      <c r="Y235" s="26"/>
      <c r="Z235" s="26"/>
      <c r="AA235" s="26"/>
      <c r="AB235" s="26"/>
      <c r="AC235" s="46"/>
      <c r="AD235" s="46"/>
      <c r="AE235" s="46"/>
      <c r="AF235" s="26">
        <f>ROUND((AD235+AE235+AC235)*$AF$4,2)</f>
        <v>0</v>
      </c>
      <c r="AG235" s="26">
        <f>ROUND((AD235+AE235+AF235+AC235)*AG$4,2)</f>
        <v>0</v>
      </c>
      <c r="AH235" s="26">
        <f>ROUND((AD235+AE235+AF235+AG235+AC235)*AH$4,2)</f>
        <v>0</v>
      </c>
      <c r="AI235" s="26">
        <f t="shared" si="126"/>
        <v>0</v>
      </c>
      <c r="AJ235" s="26">
        <f t="shared" si="127"/>
        <v>0</v>
      </c>
      <c r="AK235" s="26">
        <f t="shared" si="128"/>
        <v>0</v>
      </c>
      <c r="AL235" s="26">
        <f t="shared" si="129"/>
        <v>0</v>
      </c>
      <c r="AM235" s="24"/>
      <c r="AN235" s="50"/>
      <c r="AO235" s="86"/>
      <c r="AP235" s="50"/>
      <c r="AQ235" s="50"/>
      <c r="AR235" s="50"/>
      <c r="AS235" s="50"/>
      <c r="AT235" s="50"/>
    </row>
    <row r="236" s="1" customFormat="1" ht="30" customHeight="1" outlineLevel="1" spans="1:45">
      <c r="A236" s="13" t="s">
        <v>176</v>
      </c>
      <c r="B236" s="13" t="s">
        <v>177</v>
      </c>
      <c r="C236" s="21" t="s">
        <v>305</v>
      </c>
      <c r="D236" s="36"/>
      <c r="E236" s="36"/>
      <c r="F236" s="36"/>
      <c r="G236" s="13" t="s">
        <v>179</v>
      </c>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f>AK232</f>
        <v>0</v>
      </c>
      <c r="AL236" s="16">
        <f>AL232</f>
        <v>0</v>
      </c>
      <c r="AM236" s="14"/>
      <c r="AN236" s="100"/>
      <c r="AQ236" s="7"/>
      <c r="AR236" s="7"/>
      <c r="AS236" s="7"/>
    </row>
    <row r="237" s="1" customFormat="1" ht="37" customHeight="1" spans="1:45">
      <c r="A237" s="17" t="s">
        <v>512</v>
      </c>
      <c r="B237" s="17"/>
      <c r="C237" s="17"/>
      <c r="D237" s="18"/>
      <c r="E237" s="81"/>
      <c r="F237" s="81"/>
      <c r="G237" s="81"/>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5">
        <f>AK252</f>
        <v>0</v>
      </c>
      <c r="AL237" s="85">
        <f>AL252</f>
        <v>0</v>
      </c>
      <c r="AM237" s="81"/>
      <c r="AN237" s="50"/>
      <c r="AO237" s="60"/>
      <c r="AP237" s="61"/>
      <c r="AQ237" s="60"/>
      <c r="AR237" s="60"/>
      <c r="AS237" s="60"/>
    </row>
    <row r="238" s="1" customFormat="1" ht="30" customHeight="1" outlineLevel="1" spans="1:45">
      <c r="A238" s="21" t="s">
        <v>513</v>
      </c>
      <c r="B238" s="22"/>
      <c r="C238" s="23"/>
      <c r="D238" s="24"/>
      <c r="E238" s="25"/>
      <c r="F238" s="25"/>
      <c r="G238" s="25"/>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16">
        <f>SUM(AK239:AK241)</f>
        <v>0</v>
      </c>
      <c r="AL238" s="16">
        <f>SUM(AL239:AL241)</f>
        <v>0</v>
      </c>
      <c r="AM238" s="25"/>
      <c r="AN238" s="9"/>
      <c r="AQ238" s="7"/>
      <c r="AR238" s="7"/>
      <c r="AS238" s="7"/>
    </row>
    <row r="239" s="1" customFormat="1" ht="48" customHeight="1" outlineLevel="2" spans="1:45">
      <c r="A239" s="25">
        <v>1</v>
      </c>
      <c r="B239" s="23" t="s">
        <v>514</v>
      </c>
      <c r="C239" s="23" t="s">
        <v>515</v>
      </c>
      <c r="D239" s="24" t="s">
        <v>162</v>
      </c>
      <c r="E239" s="35"/>
      <c r="F239" s="35"/>
      <c r="G239" s="25" t="s">
        <v>173</v>
      </c>
      <c r="H239" s="26">
        <v>2681.739</v>
      </c>
      <c r="I239" s="26">
        <v>3267.282</v>
      </c>
      <c r="J239" s="26">
        <v>3147.285</v>
      </c>
      <c r="K239" s="26">
        <v>2716.299</v>
      </c>
      <c r="L239" s="26">
        <f>K239</f>
        <v>2716.299</v>
      </c>
      <c r="M239" s="26">
        <v>3279.198</v>
      </c>
      <c r="N239" s="26">
        <v>2157</v>
      </c>
      <c r="O239" s="26">
        <v>2212.122</v>
      </c>
      <c r="P239" s="26">
        <v>2224.809</v>
      </c>
      <c r="Q239" s="26">
        <v>2251.19</v>
      </c>
      <c r="R239" s="26">
        <v>1857.036</v>
      </c>
      <c r="S239" s="26">
        <v>1170.514</v>
      </c>
      <c r="T239" s="26">
        <v>933.581</v>
      </c>
      <c r="U239" s="26">
        <v>2353.301</v>
      </c>
      <c r="V239" s="26">
        <v>2232.493</v>
      </c>
      <c r="W239" s="26"/>
      <c r="X239" s="26"/>
      <c r="Y239" s="26"/>
      <c r="Z239" s="26"/>
      <c r="AA239" s="26">
        <f>4865.77+(38000-35696.322)</f>
        <v>7169.448</v>
      </c>
      <c r="AB239" s="26">
        <f t="shared" ref="AB239:AB241" si="130">SUM(H239:AA239)</f>
        <v>42369.596</v>
      </c>
      <c r="AC239" s="46"/>
      <c r="AD239" s="46"/>
      <c r="AE239" s="46"/>
      <c r="AF239" s="26">
        <f>ROUND((AD239+AE239+AC239)*$AF$4,2)</f>
        <v>0</v>
      </c>
      <c r="AG239" s="26">
        <f>ROUND((AD239+AE239+AF239+AC239)*AG$4,2)</f>
        <v>0</v>
      </c>
      <c r="AH239" s="26">
        <f>ROUND((AD239+AE239+AF239+AG239+AC239)*AH$4,2)</f>
        <v>0</v>
      </c>
      <c r="AI239" s="26">
        <f t="shared" ref="AI239:AI241" si="131">ROUND((AD239+AE239+AF239+AG239+AC239),2)</f>
        <v>0</v>
      </c>
      <c r="AJ239" s="26">
        <f t="shared" ref="AJ239:AJ241" si="132">ROUND((AD239+AE239+AF239+AG239+AH239+AC239),2)</f>
        <v>0</v>
      </c>
      <c r="AK239" s="26">
        <f t="shared" ref="AK239:AK241" si="133">ROUND((AI239*AB239),2)</f>
        <v>0</v>
      </c>
      <c r="AL239" s="26">
        <f t="shared" ref="AL239:AL241" si="134">ROUND((AJ239*AB239),2)</f>
        <v>0</v>
      </c>
      <c r="AM239" s="25"/>
      <c r="AN239" s="52"/>
      <c r="AO239" s="86"/>
      <c r="AQ239" s="7"/>
      <c r="AR239" s="7"/>
      <c r="AS239" s="7"/>
    </row>
    <row r="240" s="1" customFormat="1" ht="48" customHeight="1" outlineLevel="2" spans="1:45">
      <c r="A240" s="25">
        <v>2</v>
      </c>
      <c r="B240" s="23" t="s">
        <v>516</v>
      </c>
      <c r="C240" s="39" t="s">
        <v>441</v>
      </c>
      <c r="D240" s="34" t="s">
        <v>441</v>
      </c>
      <c r="E240" s="35"/>
      <c r="F240" s="35"/>
      <c r="G240" s="25" t="s">
        <v>517</v>
      </c>
      <c r="H240" s="26">
        <f t="shared" ref="H240:AA240" si="135">H70</f>
        <v>135</v>
      </c>
      <c r="I240" s="26">
        <f t="shared" si="135"/>
        <v>150</v>
      </c>
      <c r="J240" s="26">
        <f t="shared" si="135"/>
        <v>140</v>
      </c>
      <c r="K240" s="26">
        <f t="shared" si="135"/>
        <v>156</v>
      </c>
      <c r="L240" s="26">
        <f t="shared" si="135"/>
        <v>156</v>
      </c>
      <c r="M240" s="26">
        <f t="shared" si="135"/>
        <v>151</v>
      </c>
      <c r="N240" s="26">
        <f t="shared" si="135"/>
        <v>110</v>
      </c>
      <c r="O240" s="26">
        <f t="shared" si="135"/>
        <v>112</v>
      </c>
      <c r="P240" s="26">
        <f t="shared" si="135"/>
        <v>105</v>
      </c>
      <c r="Q240" s="26">
        <f t="shared" si="135"/>
        <v>124</v>
      </c>
      <c r="R240" s="26">
        <f t="shared" si="135"/>
        <v>104</v>
      </c>
      <c r="S240" s="26">
        <f t="shared" si="135"/>
        <v>60</v>
      </c>
      <c r="T240" s="26">
        <f t="shared" si="135"/>
        <v>48</v>
      </c>
      <c r="U240" s="26">
        <f t="shared" si="135"/>
        <v>108</v>
      </c>
      <c r="V240" s="26">
        <f t="shared" si="135"/>
        <v>120</v>
      </c>
      <c r="W240" s="26">
        <f t="shared" si="135"/>
        <v>0</v>
      </c>
      <c r="X240" s="26">
        <f t="shared" si="135"/>
        <v>0</v>
      </c>
      <c r="Y240" s="26">
        <f t="shared" si="135"/>
        <v>0</v>
      </c>
      <c r="Z240" s="26">
        <f t="shared" si="135"/>
        <v>0</v>
      </c>
      <c r="AA240" s="26">
        <f t="shared" si="135"/>
        <v>0</v>
      </c>
      <c r="AB240" s="26">
        <f t="shared" si="130"/>
        <v>1779</v>
      </c>
      <c r="AC240" s="46"/>
      <c r="AD240" s="46"/>
      <c r="AE240" s="46"/>
      <c r="AF240" s="26">
        <f>ROUND((AD240+AE240+AC240)*$AF$4,2)</f>
        <v>0</v>
      </c>
      <c r="AG240" s="26">
        <f>ROUND((AD240+AE240+AF240+AC240)*AG$4,2)</f>
        <v>0</v>
      </c>
      <c r="AH240" s="26">
        <f>ROUND((AD240+AE240+AF240+AG240+AC240)*AH$4,2)</f>
        <v>0</v>
      </c>
      <c r="AI240" s="26">
        <f t="shared" si="131"/>
        <v>0</v>
      </c>
      <c r="AJ240" s="26">
        <f t="shared" si="132"/>
        <v>0</v>
      </c>
      <c r="AK240" s="26">
        <f t="shared" si="133"/>
        <v>0</v>
      </c>
      <c r="AL240" s="26">
        <f t="shared" si="134"/>
        <v>0</v>
      </c>
      <c r="AM240" s="25"/>
      <c r="AN240" s="52"/>
      <c r="AO240" s="86"/>
      <c r="AQ240" s="7"/>
      <c r="AR240" s="7"/>
      <c r="AS240" s="7"/>
    </row>
    <row r="241" s="1" customFormat="1" ht="48" customHeight="1" outlineLevel="2" spans="1:45">
      <c r="A241" s="25">
        <v>3</v>
      </c>
      <c r="B241" s="23" t="s">
        <v>518</v>
      </c>
      <c r="C241" s="39" t="s">
        <v>519</v>
      </c>
      <c r="D241" s="24" t="s">
        <v>162</v>
      </c>
      <c r="E241" s="35"/>
      <c r="F241" s="35"/>
      <c r="G241" s="25" t="s">
        <v>165</v>
      </c>
      <c r="H241" s="26">
        <f t="shared" ref="H241:AA241" si="136">H70</f>
        <v>135</v>
      </c>
      <c r="I241" s="26">
        <f t="shared" si="136"/>
        <v>150</v>
      </c>
      <c r="J241" s="26">
        <f t="shared" si="136"/>
        <v>140</v>
      </c>
      <c r="K241" s="26">
        <f t="shared" si="136"/>
        <v>156</v>
      </c>
      <c r="L241" s="26">
        <f t="shared" si="136"/>
        <v>156</v>
      </c>
      <c r="M241" s="26">
        <f t="shared" si="136"/>
        <v>151</v>
      </c>
      <c r="N241" s="26">
        <f t="shared" si="136"/>
        <v>110</v>
      </c>
      <c r="O241" s="26">
        <f t="shared" si="136"/>
        <v>112</v>
      </c>
      <c r="P241" s="26">
        <f t="shared" si="136"/>
        <v>105</v>
      </c>
      <c r="Q241" s="26">
        <f t="shared" si="136"/>
        <v>124</v>
      </c>
      <c r="R241" s="26">
        <f t="shared" si="136"/>
        <v>104</v>
      </c>
      <c r="S241" s="26">
        <f t="shared" si="136"/>
        <v>60</v>
      </c>
      <c r="T241" s="26">
        <f t="shared" si="136"/>
        <v>48</v>
      </c>
      <c r="U241" s="26">
        <f t="shared" si="136"/>
        <v>108</v>
      </c>
      <c r="V241" s="26">
        <f t="shared" si="136"/>
        <v>120</v>
      </c>
      <c r="W241" s="26">
        <f t="shared" si="136"/>
        <v>0</v>
      </c>
      <c r="X241" s="26">
        <f t="shared" si="136"/>
        <v>0</v>
      </c>
      <c r="Y241" s="26">
        <f t="shared" si="136"/>
        <v>0</v>
      </c>
      <c r="Z241" s="26">
        <f t="shared" si="136"/>
        <v>0</v>
      </c>
      <c r="AA241" s="26">
        <f t="shared" si="136"/>
        <v>0</v>
      </c>
      <c r="AB241" s="26">
        <f t="shared" si="130"/>
        <v>1779</v>
      </c>
      <c r="AC241" s="46"/>
      <c r="AD241" s="46"/>
      <c r="AE241" s="46"/>
      <c r="AF241" s="26">
        <f>ROUND((AD241+AE241+AC241)*$AF$4,2)</f>
        <v>0</v>
      </c>
      <c r="AG241" s="26">
        <f>ROUND((AD241+AE241+AF241+AC241)*AG$4,2)</f>
        <v>0</v>
      </c>
      <c r="AH241" s="26">
        <f>ROUND((AD241+AE241+AF241+AG241+AC241)*AH$4,2)</f>
        <v>0</v>
      </c>
      <c r="AI241" s="26">
        <f t="shared" si="131"/>
        <v>0</v>
      </c>
      <c r="AJ241" s="26">
        <f t="shared" si="132"/>
        <v>0</v>
      </c>
      <c r="AK241" s="26">
        <f t="shared" si="133"/>
        <v>0</v>
      </c>
      <c r="AL241" s="26">
        <f t="shared" si="134"/>
        <v>0</v>
      </c>
      <c r="AM241" s="25"/>
      <c r="AN241" s="52"/>
      <c r="AO241" s="86"/>
      <c r="AQ241" s="7"/>
      <c r="AR241" s="7"/>
      <c r="AS241" s="7"/>
    </row>
    <row r="242" s="1" customFormat="1" ht="30" customHeight="1" outlineLevel="1" spans="1:45">
      <c r="A242" s="21" t="s">
        <v>520</v>
      </c>
      <c r="B242" s="22"/>
      <c r="C242" s="23"/>
      <c r="D242" s="24"/>
      <c r="E242" s="93"/>
      <c r="F242" s="93"/>
      <c r="G242" s="25"/>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16">
        <f>SUM(AK243:AK247)</f>
        <v>0</v>
      </c>
      <c r="AL242" s="16">
        <f>SUM(AL243:AL247)</f>
        <v>0</v>
      </c>
      <c r="AM242" s="25"/>
      <c r="AN242" s="9"/>
      <c r="AQ242" s="7"/>
      <c r="AR242" s="7"/>
      <c r="AS242" s="7"/>
    </row>
    <row r="243" s="1" customFormat="1" ht="48" customHeight="1" outlineLevel="2" spans="1:45">
      <c r="A243" s="25">
        <v>1</v>
      </c>
      <c r="B243" s="22" t="s">
        <v>521</v>
      </c>
      <c r="C243" s="23" t="s">
        <v>522</v>
      </c>
      <c r="D243" s="24" t="s">
        <v>162</v>
      </c>
      <c r="E243" s="27"/>
      <c r="F243" s="27"/>
      <c r="G243" s="25" t="s">
        <v>146</v>
      </c>
      <c r="H243" s="26"/>
      <c r="I243" s="26"/>
      <c r="J243" s="26"/>
      <c r="K243" s="26"/>
      <c r="L243" s="26"/>
      <c r="M243" s="26"/>
      <c r="N243" s="26"/>
      <c r="O243" s="26"/>
      <c r="P243" s="26"/>
      <c r="Q243" s="26"/>
      <c r="R243" s="26"/>
      <c r="S243" s="26"/>
      <c r="T243" s="26"/>
      <c r="U243" s="26"/>
      <c r="V243" s="26"/>
      <c r="W243" s="26"/>
      <c r="X243" s="26"/>
      <c r="Y243" s="26"/>
      <c r="Z243" s="26"/>
      <c r="AA243" s="26">
        <v>7</v>
      </c>
      <c r="AB243" s="26">
        <f t="shared" ref="AB243:AB247" si="137">SUM(H243:AA243)</f>
        <v>7</v>
      </c>
      <c r="AC243" s="99"/>
      <c r="AD243" s="99"/>
      <c r="AE243" s="99"/>
      <c r="AF243" s="26">
        <f>ROUND((AD243+AE243+AC243)*$AF$4,2)</f>
        <v>0</v>
      </c>
      <c r="AG243" s="26">
        <f>ROUND((AD243+AE243+AF243+AC243)*AG$4,2)</f>
        <v>0</v>
      </c>
      <c r="AH243" s="26">
        <f>ROUND((AD243+AE243+AF243+AG243+AC243)*AH$4,2)</f>
        <v>0</v>
      </c>
      <c r="AI243" s="26">
        <f t="shared" ref="AI243:AI247" si="138">ROUND((AD243+AE243+AF243+AG243+AC243),2)</f>
        <v>0</v>
      </c>
      <c r="AJ243" s="26">
        <f t="shared" ref="AJ243:AJ247" si="139">ROUND((AD243+AE243+AF243+AG243+AH243+AC243),2)</f>
        <v>0</v>
      </c>
      <c r="AK243" s="26">
        <f t="shared" ref="AK243:AK247" si="140">ROUND((AI243*AB243),2)</f>
        <v>0</v>
      </c>
      <c r="AL243" s="26">
        <f t="shared" ref="AL243:AL247" si="141">ROUND((AJ243*AB243),2)</f>
        <v>0</v>
      </c>
      <c r="AM243" s="25"/>
      <c r="AN243" s="50"/>
      <c r="AO243" s="86"/>
      <c r="AQ243" s="7"/>
      <c r="AR243" s="7"/>
      <c r="AS243" s="7"/>
    </row>
    <row r="244" s="1" customFormat="1" ht="48" customHeight="1" outlineLevel="2" spans="1:45">
      <c r="A244" s="25">
        <v>2</v>
      </c>
      <c r="B244" s="22" t="s">
        <v>521</v>
      </c>
      <c r="C244" s="23" t="s">
        <v>523</v>
      </c>
      <c r="D244" s="24" t="s">
        <v>162</v>
      </c>
      <c r="E244" s="27"/>
      <c r="F244" s="27"/>
      <c r="G244" s="25" t="s">
        <v>146</v>
      </c>
      <c r="H244" s="26"/>
      <c r="I244" s="26"/>
      <c r="J244" s="26"/>
      <c r="K244" s="26"/>
      <c r="L244" s="26"/>
      <c r="M244" s="26"/>
      <c r="N244" s="26"/>
      <c r="O244" s="26"/>
      <c r="P244" s="26"/>
      <c r="Q244" s="26"/>
      <c r="R244" s="26"/>
      <c r="S244" s="26"/>
      <c r="T244" s="26"/>
      <c r="U244" s="26"/>
      <c r="V244" s="26"/>
      <c r="W244" s="26"/>
      <c r="X244" s="26"/>
      <c r="Y244" s="26"/>
      <c r="Z244" s="26"/>
      <c r="AA244" s="26">
        <f>7</f>
        <v>7</v>
      </c>
      <c r="AB244" s="26">
        <f t="shared" si="137"/>
        <v>7</v>
      </c>
      <c r="AC244" s="46"/>
      <c r="AD244" s="99"/>
      <c r="AE244" s="99"/>
      <c r="AF244" s="26">
        <f>ROUND((AD244+AE244+AC244)*$AF$4,2)</f>
        <v>0</v>
      </c>
      <c r="AG244" s="26">
        <f>ROUND((AD244+AE244+AF244+AC244)*AG$4,2)</f>
        <v>0</v>
      </c>
      <c r="AH244" s="26">
        <f>ROUND((AD244+AE244+AF244+AG244+AC244)*AH$4,2)</f>
        <v>0</v>
      </c>
      <c r="AI244" s="26">
        <f t="shared" si="138"/>
        <v>0</v>
      </c>
      <c r="AJ244" s="26">
        <f t="shared" si="139"/>
        <v>0</v>
      </c>
      <c r="AK244" s="26">
        <f t="shared" si="140"/>
        <v>0</v>
      </c>
      <c r="AL244" s="26">
        <f t="shared" si="141"/>
        <v>0</v>
      </c>
      <c r="AM244" s="25"/>
      <c r="AN244" s="50"/>
      <c r="AO244" s="86"/>
      <c r="AQ244" s="7"/>
      <c r="AR244" s="7"/>
      <c r="AS244" s="7"/>
    </row>
    <row r="245" s="1" customFormat="1" ht="48" customHeight="1" outlineLevel="2" spans="1:45">
      <c r="A245" s="25">
        <v>3</v>
      </c>
      <c r="B245" s="70" t="s">
        <v>524</v>
      </c>
      <c r="C245" s="39" t="s">
        <v>525</v>
      </c>
      <c r="D245" s="34" t="s">
        <v>162</v>
      </c>
      <c r="E245" s="27"/>
      <c r="F245" s="27"/>
      <c r="G245" s="72" t="s">
        <v>146</v>
      </c>
      <c r="H245" s="92">
        <v>4</v>
      </c>
      <c r="I245" s="26">
        <v>5</v>
      </c>
      <c r="J245" s="26">
        <v>5</v>
      </c>
      <c r="K245" s="26">
        <v>5</v>
      </c>
      <c r="L245" s="26">
        <v>5</v>
      </c>
      <c r="M245" s="26">
        <v>5</v>
      </c>
      <c r="N245" s="26">
        <v>3</v>
      </c>
      <c r="O245" s="26">
        <v>3</v>
      </c>
      <c r="P245" s="26">
        <v>3</v>
      </c>
      <c r="Q245" s="26">
        <v>4</v>
      </c>
      <c r="R245" s="26">
        <v>3</v>
      </c>
      <c r="S245" s="26">
        <v>2</v>
      </c>
      <c r="T245" s="26">
        <v>1</v>
      </c>
      <c r="U245" s="26">
        <v>4</v>
      </c>
      <c r="V245" s="26">
        <v>3</v>
      </c>
      <c r="W245" s="26"/>
      <c r="X245" s="26"/>
      <c r="Y245" s="26"/>
      <c r="Z245" s="26"/>
      <c r="AA245" s="26"/>
      <c r="AB245" s="26">
        <f t="shared" si="137"/>
        <v>55</v>
      </c>
      <c r="AC245" s="46"/>
      <c r="AD245" s="46"/>
      <c r="AE245" s="46"/>
      <c r="AF245" s="26">
        <f>ROUND((AD245+AE245+AC245)*$AF$4,2)</f>
        <v>0</v>
      </c>
      <c r="AG245" s="26">
        <f>ROUND((AD245+AE245+AF245+AC245)*AG$4,2)</f>
        <v>0</v>
      </c>
      <c r="AH245" s="26">
        <f>ROUND((AD245+AE245+AF245+AG245+AC245)*AH$4,2)</f>
        <v>0</v>
      </c>
      <c r="AI245" s="26">
        <f t="shared" si="138"/>
        <v>0</v>
      </c>
      <c r="AJ245" s="26">
        <f t="shared" si="139"/>
        <v>0</v>
      </c>
      <c r="AK245" s="26">
        <f t="shared" si="140"/>
        <v>0</v>
      </c>
      <c r="AL245" s="26">
        <f t="shared" si="141"/>
        <v>0</v>
      </c>
      <c r="AM245" s="25"/>
      <c r="AN245" s="50"/>
      <c r="AO245" s="60"/>
      <c r="AP245" s="60"/>
      <c r="AQ245" s="60"/>
      <c r="AR245" s="60"/>
      <c r="AS245" s="60"/>
    </row>
    <row r="246" s="1" customFormat="1" ht="48" customHeight="1" outlineLevel="2" spans="1:45">
      <c r="A246" s="25">
        <v>4</v>
      </c>
      <c r="B246" s="22" t="s">
        <v>526</v>
      </c>
      <c r="C246" s="23" t="s">
        <v>527</v>
      </c>
      <c r="D246" s="24" t="s">
        <v>162</v>
      </c>
      <c r="E246" s="35"/>
      <c r="F246" s="35"/>
      <c r="G246" s="25" t="s">
        <v>146</v>
      </c>
      <c r="H246" s="26">
        <v>1</v>
      </c>
      <c r="I246" s="26"/>
      <c r="J246" s="26"/>
      <c r="K246" s="26"/>
      <c r="L246" s="26"/>
      <c r="M246" s="26"/>
      <c r="N246" s="26">
        <v>1</v>
      </c>
      <c r="O246" s="26">
        <v>1</v>
      </c>
      <c r="P246" s="26">
        <v>1</v>
      </c>
      <c r="Q246" s="26"/>
      <c r="R246" s="26"/>
      <c r="S246" s="26"/>
      <c r="T246" s="26">
        <v>1</v>
      </c>
      <c r="U246" s="26"/>
      <c r="V246" s="26">
        <v>1</v>
      </c>
      <c r="W246" s="26"/>
      <c r="X246" s="26"/>
      <c r="Y246" s="26"/>
      <c r="Z246" s="26"/>
      <c r="AA246" s="26"/>
      <c r="AB246" s="26">
        <f t="shared" si="137"/>
        <v>6</v>
      </c>
      <c r="AC246" s="46"/>
      <c r="AD246" s="46"/>
      <c r="AE246" s="46"/>
      <c r="AF246" s="26">
        <f>ROUND((AD246+AE246+AC246)*$AF$4,2)</f>
        <v>0</v>
      </c>
      <c r="AG246" s="26">
        <f>ROUND((AD246+AE246+AF246+AC246)*AG$4,2)</f>
        <v>0</v>
      </c>
      <c r="AH246" s="26">
        <f>ROUND((AD246+AE246+AF246+AG246+AC246)*AH$4,2)</f>
        <v>0</v>
      </c>
      <c r="AI246" s="26">
        <f t="shared" si="138"/>
        <v>0</v>
      </c>
      <c r="AJ246" s="26">
        <f t="shared" si="139"/>
        <v>0</v>
      </c>
      <c r="AK246" s="26">
        <f t="shared" si="140"/>
        <v>0</v>
      </c>
      <c r="AL246" s="26">
        <f t="shared" si="141"/>
        <v>0</v>
      </c>
      <c r="AM246" s="25"/>
      <c r="AN246" s="52"/>
      <c r="AO246" s="86"/>
      <c r="AQ246" s="7"/>
      <c r="AR246" s="7"/>
      <c r="AS246" s="7"/>
    </row>
    <row r="247" s="1" customFormat="1" ht="48" customHeight="1" outlineLevel="2" spans="1:45">
      <c r="A247" s="25">
        <v>5</v>
      </c>
      <c r="B247" s="22" t="s">
        <v>528</v>
      </c>
      <c r="C247" s="23" t="s">
        <v>527</v>
      </c>
      <c r="D247" s="24" t="s">
        <v>162</v>
      </c>
      <c r="E247" s="35"/>
      <c r="F247" s="35"/>
      <c r="G247" s="25" t="s">
        <v>146</v>
      </c>
      <c r="H247" s="26"/>
      <c r="I247" s="26">
        <v>1</v>
      </c>
      <c r="J247" s="26"/>
      <c r="K247" s="26">
        <v>1</v>
      </c>
      <c r="L247" s="26">
        <v>1</v>
      </c>
      <c r="M247" s="26">
        <v>1</v>
      </c>
      <c r="N247" s="26"/>
      <c r="O247" s="26"/>
      <c r="P247" s="26"/>
      <c r="Q247" s="26"/>
      <c r="R247" s="26">
        <v>1</v>
      </c>
      <c r="S247" s="26">
        <v>1</v>
      </c>
      <c r="T247" s="26"/>
      <c r="U247" s="26"/>
      <c r="V247" s="26"/>
      <c r="W247" s="26">
        <v>1</v>
      </c>
      <c r="X247" s="26"/>
      <c r="Y247" s="26"/>
      <c r="Z247" s="26"/>
      <c r="AA247" s="26"/>
      <c r="AB247" s="26">
        <f t="shared" si="137"/>
        <v>7</v>
      </c>
      <c r="AC247" s="46"/>
      <c r="AD247" s="46"/>
      <c r="AE247" s="46"/>
      <c r="AF247" s="26">
        <f>ROUND((AD247+AE247+AC247)*$AF$4,2)</f>
        <v>0</v>
      </c>
      <c r="AG247" s="26">
        <f>ROUND((AD247+AE247+AF247+AC247)*AG$4,2)</f>
        <v>0</v>
      </c>
      <c r="AH247" s="26">
        <f>ROUND((AD247+AE247+AF247+AG247+AC247)*AH$4,2)</f>
        <v>0</v>
      </c>
      <c r="AI247" s="26">
        <f t="shared" si="138"/>
        <v>0</v>
      </c>
      <c r="AJ247" s="26">
        <f t="shared" si="139"/>
        <v>0</v>
      </c>
      <c r="AK247" s="26">
        <f t="shared" si="140"/>
        <v>0</v>
      </c>
      <c r="AL247" s="26">
        <f t="shared" si="141"/>
        <v>0</v>
      </c>
      <c r="AM247" s="25"/>
      <c r="AN247" s="52"/>
      <c r="AO247" s="86"/>
      <c r="AQ247" s="7"/>
      <c r="AR247" s="7"/>
      <c r="AS247" s="7"/>
    </row>
    <row r="248" s="1" customFormat="1" ht="30" customHeight="1" outlineLevel="1" spans="1:45">
      <c r="A248" s="21" t="s">
        <v>529</v>
      </c>
      <c r="B248" s="22"/>
      <c r="C248" s="23"/>
      <c r="D248" s="24"/>
      <c r="E248" s="93"/>
      <c r="F248" s="93"/>
      <c r="G248" s="25"/>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16">
        <f>SUM(AK249:AK251)</f>
        <v>0</v>
      </c>
      <c r="AL248" s="16">
        <f>SUM(AL249:AL251)</f>
        <v>0</v>
      </c>
      <c r="AM248" s="25"/>
      <c r="AN248" s="9"/>
      <c r="AQ248" s="7"/>
      <c r="AR248" s="7"/>
      <c r="AS248" s="7"/>
    </row>
    <row r="249" s="1" customFormat="1" ht="48" customHeight="1" outlineLevel="2" spans="1:45">
      <c r="A249" s="25">
        <v>1</v>
      </c>
      <c r="B249" s="70" t="s">
        <v>530</v>
      </c>
      <c r="C249" s="39" t="s">
        <v>531</v>
      </c>
      <c r="D249" s="34" t="s">
        <v>162</v>
      </c>
      <c r="E249" s="27"/>
      <c r="F249" s="27"/>
      <c r="G249" s="72" t="s">
        <v>173</v>
      </c>
      <c r="H249" s="26">
        <f>26.54+43.94+64.94+82.34</f>
        <v>217.76</v>
      </c>
      <c r="I249" s="26">
        <f>16.84+34.24+51.64+72.64+90.04</f>
        <v>265.4</v>
      </c>
      <c r="J249" s="26">
        <f>10.74+28.14+45.54+66.54+83.94</f>
        <v>234.9</v>
      </c>
      <c r="K249" s="26">
        <f>15.2+29.7+44.2+58.7+73.2</f>
        <v>221</v>
      </c>
      <c r="L249" s="26">
        <f>15.2+29.7+44.2+58.7+73.2</f>
        <v>221</v>
      </c>
      <c r="M249" s="26">
        <f>17.84+35.24+52.64+73.64+89.19</f>
        <v>268.55</v>
      </c>
      <c r="N249" s="26">
        <f>26.8+50+76.8</f>
        <v>153.6</v>
      </c>
      <c r="O249" s="26">
        <f>30.44+57.24+80.44</f>
        <v>168.12</v>
      </c>
      <c r="P249" s="26">
        <f>24.24+47.44+74.24</f>
        <v>145.92</v>
      </c>
      <c r="Q249" s="26">
        <f>15.2+35.5+62.3+85.5</f>
        <v>198.5</v>
      </c>
      <c r="R249" s="26">
        <f>24+44.2+67.4</f>
        <v>135.6</v>
      </c>
      <c r="S249" s="26">
        <f>15.9+36.29</f>
        <v>52.19</v>
      </c>
      <c r="T249" s="26">
        <v>27.59</v>
      </c>
      <c r="U249" s="26">
        <f>11.54+28.94+52.14+79.94</f>
        <v>172.56</v>
      </c>
      <c r="V249" s="26">
        <f>37.64+64.44+87.64</f>
        <v>189.72</v>
      </c>
      <c r="W249" s="26"/>
      <c r="X249" s="26"/>
      <c r="Y249" s="26"/>
      <c r="Z249" s="26"/>
      <c r="AA249" s="26">
        <v>3648.079</v>
      </c>
      <c r="AB249" s="26">
        <f>SUM(H249:AA249)</f>
        <v>6320.489</v>
      </c>
      <c r="AC249" s="46"/>
      <c r="AD249" s="46"/>
      <c r="AE249" s="46"/>
      <c r="AF249" s="26">
        <f>ROUND((AD249+AE249+AC249)*$AF$4,2)</f>
        <v>0</v>
      </c>
      <c r="AG249" s="26">
        <f>ROUND((AD249+AE249+AF249+AC249)*AG$4,2)</f>
        <v>0</v>
      </c>
      <c r="AH249" s="26">
        <f>ROUND((AD249+AE249+AF249+AG249+AC249)*AH$4,2)</f>
        <v>0</v>
      </c>
      <c r="AI249" s="26">
        <f t="shared" ref="AI249:AI251" si="142">ROUND((AD249+AE249+AF249+AG249+AC249),2)</f>
        <v>0</v>
      </c>
      <c r="AJ249" s="26">
        <f t="shared" ref="AJ249:AJ251" si="143">ROUND((AD249+AE249+AF249+AG249+AH249+AC249),2)</f>
        <v>0</v>
      </c>
      <c r="AK249" s="26">
        <f t="shared" ref="AK249:AK251" si="144">ROUND((AI249*AB249),2)</f>
        <v>0</v>
      </c>
      <c r="AL249" s="26">
        <f t="shared" ref="AL249:AL251" si="145">ROUND((AJ249*AB249),2)</f>
        <v>0</v>
      </c>
      <c r="AM249" s="25"/>
      <c r="AN249" s="50"/>
      <c r="AQ249" s="7"/>
      <c r="AR249" s="7"/>
      <c r="AS249" s="7"/>
    </row>
    <row r="250" s="1" customFormat="1" ht="48" customHeight="1" outlineLevel="2" spans="1:45">
      <c r="A250" s="25">
        <v>2</v>
      </c>
      <c r="B250" s="70" t="s">
        <v>532</v>
      </c>
      <c r="C250" s="39" t="s">
        <v>531</v>
      </c>
      <c r="D250" s="34" t="s">
        <v>162</v>
      </c>
      <c r="E250" s="27"/>
      <c r="F250" s="27"/>
      <c r="G250" s="72" t="s">
        <v>173</v>
      </c>
      <c r="H250" s="26"/>
      <c r="I250" s="26"/>
      <c r="J250" s="26"/>
      <c r="K250" s="26"/>
      <c r="L250" s="26"/>
      <c r="M250" s="26"/>
      <c r="N250" s="26"/>
      <c r="O250" s="26"/>
      <c r="P250" s="26"/>
      <c r="Q250" s="26"/>
      <c r="R250" s="26"/>
      <c r="S250" s="26"/>
      <c r="T250" s="26"/>
      <c r="U250" s="26"/>
      <c r="V250" s="26"/>
      <c r="W250" s="26"/>
      <c r="X250" s="26"/>
      <c r="Y250" s="26"/>
      <c r="Z250" s="26"/>
      <c r="AA250" s="26"/>
      <c r="AB250" s="26">
        <v>2600</v>
      </c>
      <c r="AC250" s="46"/>
      <c r="AD250" s="46"/>
      <c r="AE250" s="46"/>
      <c r="AF250" s="26">
        <f>ROUND((AD250+AE250+AC250)*$AF$4,2)</f>
        <v>0</v>
      </c>
      <c r="AG250" s="26">
        <f>ROUND((AD250+AE250+AF250+AC250)*AG$4,2)</f>
        <v>0</v>
      </c>
      <c r="AH250" s="26">
        <f>ROUND((AD250+AE250+AF250+AG250+AC250)*AH$4,2)</f>
        <v>0</v>
      </c>
      <c r="AI250" s="26">
        <f t="shared" si="142"/>
        <v>0</v>
      </c>
      <c r="AJ250" s="26">
        <f t="shared" si="143"/>
        <v>0</v>
      </c>
      <c r="AK250" s="26">
        <f t="shared" si="144"/>
        <v>0</v>
      </c>
      <c r="AL250" s="26">
        <f t="shared" si="145"/>
        <v>0</v>
      </c>
      <c r="AM250" s="25"/>
      <c r="AN250" s="52"/>
      <c r="AQ250" s="7"/>
      <c r="AR250" s="7"/>
      <c r="AS250" s="7"/>
    </row>
    <row r="251" s="1" customFormat="1" ht="48" customHeight="1" outlineLevel="2" spans="1:45">
      <c r="A251" s="25">
        <v>3</v>
      </c>
      <c r="B251" s="70" t="s">
        <v>533</v>
      </c>
      <c r="C251" s="39" t="s">
        <v>531</v>
      </c>
      <c r="D251" s="34" t="s">
        <v>162</v>
      </c>
      <c r="E251" s="27"/>
      <c r="F251" s="27"/>
      <c r="G251" s="72" t="s">
        <v>173</v>
      </c>
      <c r="H251" s="26"/>
      <c r="I251" s="26">
        <v>3.6</v>
      </c>
      <c r="J251" s="26"/>
      <c r="K251" s="26">
        <v>3.6</v>
      </c>
      <c r="L251" s="26">
        <v>3.6</v>
      </c>
      <c r="M251" s="26">
        <v>4.29</v>
      </c>
      <c r="N251" s="26"/>
      <c r="O251" s="26"/>
      <c r="P251" s="26"/>
      <c r="Q251" s="26"/>
      <c r="R251" s="26">
        <v>6.5</v>
      </c>
      <c r="S251" s="26">
        <v>4.39</v>
      </c>
      <c r="T251" s="26"/>
      <c r="U251" s="26"/>
      <c r="V251" s="26"/>
      <c r="W251" s="26">
        <v>5.09</v>
      </c>
      <c r="X251" s="26"/>
      <c r="Y251" s="26"/>
      <c r="Z251" s="26"/>
      <c r="AA251" s="26">
        <v>283.736</v>
      </c>
      <c r="AB251" s="26">
        <v>800</v>
      </c>
      <c r="AC251" s="46"/>
      <c r="AD251" s="46"/>
      <c r="AE251" s="46"/>
      <c r="AF251" s="26">
        <f>ROUND((AD251+AE251+AC251)*$AF$4,2)</f>
        <v>0</v>
      </c>
      <c r="AG251" s="26">
        <f>ROUND((AD251+AE251+AF251+AC251)*AG$4,2)</f>
        <v>0</v>
      </c>
      <c r="AH251" s="26">
        <f>ROUND((AD251+AE251+AF251+AG251+AC251)*AH$4,2)</f>
        <v>0</v>
      </c>
      <c r="AI251" s="26">
        <f t="shared" si="142"/>
        <v>0</v>
      </c>
      <c r="AJ251" s="26">
        <f t="shared" si="143"/>
        <v>0</v>
      </c>
      <c r="AK251" s="26">
        <f t="shared" si="144"/>
        <v>0</v>
      </c>
      <c r="AL251" s="26">
        <f t="shared" si="145"/>
        <v>0</v>
      </c>
      <c r="AM251" s="25"/>
      <c r="AN251" s="52"/>
      <c r="AQ251" s="7"/>
      <c r="AR251" s="7"/>
      <c r="AS251" s="7"/>
    </row>
    <row r="252" s="6" customFormat="1" ht="30" customHeight="1" outlineLevel="1" spans="1:48">
      <c r="A252" s="13" t="s">
        <v>176</v>
      </c>
      <c r="B252" s="13" t="s">
        <v>177</v>
      </c>
      <c r="C252" s="36" t="s">
        <v>178</v>
      </c>
      <c r="D252" s="36"/>
      <c r="E252" s="36"/>
      <c r="F252" s="36"/>
      <c r="G252" s="13" t="s">
        <v>179</v>
      </c>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f>AK238+AK242+AK248</f>
        <v>0</v>
      </c>
      <c r="AL252" s="16">
        <f>AL238+AL242+AL248</f>
        <v>0</v>
      </c>
      <c r="AM252" s="14"/>
      <c r="AN252" s="9"/>
      <c r="AO252" s="1"/>
      <c r="AP252" s="1"/>
      <c r="AQ252" s="7"/>
      <c r="AR252" s="7"/>
      <c r="AS252" s="7"/>
      <c r="AT252" s="1"/>
      <c r="AU252" s="1"/>
      <c r="AV252" s="1"/>
    </row>
    <row r="253" s="6" customFormat="1" ht="37" customHeight="1" spans="1:48">
      <c r="A253" s="17" t="s">
        <v>534</v>
      </c>
      <c r="B253" s="17"/>
      <c r="C253" s="17"/>
      <c r="D253" s="18"/>
      <c r="E253" s="81"/>
      <c r="F253" s="81"/>
      <c r="G253" s="81"/>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5">
        <f>AK270</f>
        <v>0</v>
      </c>
      <c r="AL253" s="85">
        <f>AL270</f>
        <v>0</v>
      </c>
      <c r="AM253" s="81"/>
      <c r="AN253" s="50"/>
      <c r="AO253" s="60"/>
      <c r="AP253" s="61"/>
      <c r="AQ253" s="60"/>
      <c r="AR253" s="60"/>
      <c r="AS253" s="60"/>
      <c r="AT253" s="1"/>
      <c r="AU253" s="1"/>
      <c r="AV253" s="1"/>
    </row>
    <row r="254" s="6" customFormat="1" ht="30" customHeight="1" outlineLevel="1" spans="1:45">
      <c r="A254" s="90" t="s">
        <v>535</v>
      </c>
      <c r="B254" s="94"/>
      <c r="C254" s="95"/>
      <c r="D254" s="95"/>
      <c r="E254" s="94"/>
      <c r="F254" s="94"/>
      <c r="G254" s="94"/>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c r="AJ254" s="96"/>
      <c r="AK254" s="16">
        <f>SUM(AK255:AK256)</f>
        <v>0</v>
      </c>
      <c r="AL254" s="16">
        <f>SUM(AL255:AL256)</f>
        <v>0</v>
      </c>
      <c r="AM254" s="95"/>
      <c r="AN254" s="4"/>
      <c r="AO254" s="103"/>
      <c r="AQ254" s="104"/>
      <c r="AR254" s="104"/>
      <c r="AS254" s="104"/>
    </row>
    <row r="255" s="6" customFormat="1" ht="60" outlineLevel="2" spans="1:45">
      <c r="A255" s="72">
        <v>1</v>
      </c>
      <c r="B255" s="70" t="s">
        <v>536</v>
      </c>
      <c r="C255" s="39" t="s">
        <v>537</v>
      </c>
      <c r="D255" s="34" t="s">
        <v>223</v>
      </c>
      <c r="E255" s="71"/>
      <c r="F255" s="71"/>
      <c r="G255" s="72" t="s">
        <v>134</v>
      </c>
      <c r="H255" s="92"/>
      <c r="I255" s="92"/>
      <c r="J255" s="92"/>
      <c r="K255" s="92"/>
      <c r="L255" s="92"/>
      <c r="M255" s="92"/>
      <c r="N255" s="92"/>
      <c r="O255" s="92"/>
      <c r="P255" s="92"/>
      <c r="Q255" s="92"/>
      <c r="R255" s="92"/>
      <c r="S255" s="92"/>
      <c r="T255" s="92"/>
      <c r="U255" s="92"/>
      <c r="V255" s="92"/>
      <c r="W255" s="92"/>
      <c r="X255" s="92"/>
      <c r="Y255" s="92"/>
      <c r="Z255" s="92"/>
      <c r="AA255" s="92"/>
      <c r="AB255" s="92">
        <v>1</v>
      </c>
      <c r="AC255" s="46"/>
      <c r="AD255" s="46"/>
      <c r="AE255" s="46"/>
      <c r="AF255" s="26">
        <f>ROUND((AD255+AE255+AC255)*$AF$4,2)</f>
        <v>0</v>
      </c>
      <c r="AG255" s="26">
        <f>ROUND((AD255+AE255+AF255+AC255)*AG$4,2)</f>
        <v>0</v>
      </c>
      <c r="AH255" s="26">
        <f>ROUND((AD255+AE255+AF255+AG255+AC255)*AH$4,2)</f>
        <v>0</v>
      </c>
      <c r="AI255" s="26">
        <f t="shared" ref="AI255:AI269" si="146">ROUND((AD255+AE255+AF255+AG255+AC255),2)</f>
        <v>0</v>
      </c>
      <c r="AJ255" s="26">
        <f t="shared" ref="AJ255:AJ269" si="147">ROUND((AD255+AE255+AF255+AG255+AH255+AC255),2)</f>
        <v>0</v>
      </c>
      <c r="AK255" s="26">
        <f t="shared" ref="AK255:AK269" si="148">ROUND((AI255*AB255),2)</f>
        <v>0</v>
      </c>
      <c r="AL255" s="26">
        <f t="shared" ref="AL255:AL269" si="149">ROUND((AJ255*AB255),2)</f>
        <v>0</v>
      </c>
      <c r="AM255" s="34" t="s">
        <v>538</v>
      </c>
      <c r="AN255" s="50"/>
      <c r="AO255" s="64"/>
      <c r="AQ255" s="104"/>
      <c r="AR255" s="104"/>
      <c r="AS255" s="104"/>
    </row>
    <row r="256" s="6" customFormat="1" ht="96" outlineLevel="2" spans="1:45">
      <c r="A256" s="72">
        <v>2</v>
      </c>
      <c r="B256" s="70" t="s">
        <v>539</v>
      </c>
      <c r="C256" s="39" t="s">
        <v>540</v>
      </c>
      <c r="D256" s="34" t="s">
        <v>223</v>
      </c>
      <c r="E256" s="71"/>
      <c r="F256" s="71"/>
      <c r="G256" s="72" t="s">
        <v>134</v>
      </c>
      <c r="H256" s="92"/>
      <c r="I256" s="92"/>
      <c r="J256" s="92"/>
      <c r="K256" s="92"/>
      <c r="L256" s="92"/>
      <c r="M256" s="92"/>
      <c r="N256" s="92"/>
      <c r="O256" s="92"/>
      <c r="P256" s="92"/>
      <c r="Q256" s="92"/>
      <c r="R256" s="92"/>
      <c r="S256" s="92"/>
      <c r="T256" s="92"/>
      <c r="U256" s="92"/>
      <c r="V256" s="92"/>
      <c r="W256" s="92"/>
      <c r="X256" s="92"/>
      <c r="Y256" s="92"/>
      <c r="Z256" s="92"/>
      <c r="AA256" s="92"/>
      <c r="AB256" s="92">
        <v>1</v>
      </c>
      <c r="AC256" s="46"/>
      <c r="AD256" s="46"/>
      <c r="AE256" s="46"/>
      <c r="AF256" s="26">
        <f>ROUND((AD256+AE256+AC256)*$AF$4,2)</f>
        <v>0</v>
      </c>
      <c r="AG256" s="26">
        <f>ROUND((AD256+AE256+AF256+AC256)*AG$4,2)</f>
        <v>0</v>
      </c>
      <c r="AH256" s="26">
        <f>ROUND((AD256+AE256+AF256+AG256+AC256)*AH$4,2)</f>
        <v>0</v>
      </c>
      <c r="AI256" s="26">
        <f t="shared" si="146"/>
        <v>0</v>
      </c>
      <c r="AJ256" s="26">
        <f t="shared" si="147"/>
        <v>0</v>
      </c>
      <c r="AK256" s="26">
        <f t="shared" si="148"/>
        <v>0</v>
      </c>
      <c r="AL256" s="26">
        <f t="shared" si="149"/>
        <v>0</v>
      </c>
      <c r="AM256" s="34" t="s">
        <v>538</v>
      </c>
      <c r="AN256" s="50"/>
      <c r="AO256" s="64"/>
      <c r="AQ256" s="104"/>
      <c r="AR256" s="104"/>
      <c r="AS256" s="104"/>
    </row>
    <row r="257" s="6" customFormat="1" ht="30" customHeight="1" outlineLevel="1" spans="1:45">
      <c r="A257" s="90" t="s">
        <v>541</v>
      </c>
      <c r="B257" s="70"/>
      <c r="C257" s="39"/>
      <c r="D257" s="34"/>
      <c r="E257" s="72"/>
      <c r="F257" s="72"/>
      <c r="G257" s="72"/>
      <c r="H257" s="92"/>
      <c r="I257" s="92"/>
      <c r="J257" s="92"/>
      <c r="K257" s="92"/>
      <c r="L257" s="92"/>
      <c r="M257" s="92"/>
      <c r="N257" s="92"/>
      <c r="O257" s="92"/>
      <c r="P257" s="92"/>
      <c r="Q257" s="92"/>
      <c r="R257" s="92"/>
      <c r="S257" s="92"/>
      <c r="T257" s="92"/>
      <c r="U257" s="92"/>
      <c r="V257" s="92"/>
      <c r="W257" s="92"/>
      <c r="X257" s="92"/>
      <c r="Y257" s="92"/>
      <c r="Z257" s="92"/>
      <c r="AA257" s="92"/>
      <c r="AB257" s="92"/>
      <c r="AC257" s="26"/>
      <c r="AD257" s="26"/>
      <c r="AE257" s="26"/>
      <c r="AF257" s="26"/>
      <c r="AG257" s="26"/>
      <c r="AH257" s="26"/>
      <c r="AI257" s="26"/>
      <c r="AJ257" s="26"/>
      <c r="AK257" s="16">
        <f>SUM(AK258:AK269)</f>
        <v>0</v>
      </c>
      <c r="AL257" s="16">
        <f>SUM(AL258:AL269)</f>
        <v>0</v>
      </c>
      <c r="AM257" s="34"/>
      <c r="AN257" s="50"/>
      <c r="AO257" s="64"/>
      <c r="AQ257" s="104"/>
      <c r="AR257" s="104"/>
      <c r="AS257" s="104"/>
    </row>
    <row r="258" s="6" customFormat="1" ht="96" outlineLevel="2" spans="1:45">
      <c r="A258" s="72">
        <v>1</v>
      </c>
      <c r="B258" s="70" t="s">
        <v>542</v>
      </c>
      <c r="C258" s="105" t="s">
        <v>543</v>
      </c>
      <c r="D258" s="34" t="s">
        <v>544</v>
      </c>
      <c r="E258" s="71"/>
      <c r="F258" s="71"/>
      <c r="G258" s="72" t="s">
        <v>146</v>
      </c>
      <c r="H258" s="92"/>
      <c r="I258" s="92"/>
      <c r="J258" s="92"/>
      <c r="K258" s="92"/>
      <c r="L258" s="92"/>
      <c r="M258" s="92"/>
      <c r="N258" s="92"/>
      <c r="O258" s="92"/>
      <c r="P258" s="92"/>
      <c r="Q258" s="92"/>
      <c r="R258" s="92"/>
      <c r="S258" s="92"/>
      <c r="T258" s="92"/>
      <c r="U258" s="92"/>
      <c r="V258" s="92"/>
      <c r="W258" s="92"/>
      <c r="X258" s="92"/>
      <c r="Y258" s="92"/>
      <c r="Z258" s="92"/>
      <c r="AA258" s="92"/>
      <c r="AB258" s="92">
        <v>1</v>
      </c>
      <c r="AC258" s="46"/>
      <c r="AD258" s="46"/>
      <c r="AE258" s="46"/>
      <c r="AF258" s="26">
        <f>ROUND((AD258+AE258+AC258)*$AF$4,2)</f>
        <v>0</v>
      </c>
      <c r="AG258" s="26">
        <f>ROUND((AD258+AE258+AF258+AC258)*AG$4,2)</f>
        <v>0</v>
      </c>
      <c r="AH258" s="26">
        <f>ROUND((AD258+AE258+AF258+AG258+AC258)*AH$4,2)</f>
        <v>0</v>
      </c>
      <c r="AI258" s="26">
        <f t="shared" si="146"/>
        <v>0</v>
      </c>
      <c r="AJ258" s="26">
        <f t="shared" si="147"/>
        <v>0</v>
      </c>
      <c r="AK258" s="26">
        <f t="shared" si="148"/>
        <v>0</v>
      </c>
      <c r="AL258" s="26">
        <f t="shared" si="149"/>
        <v>0</v>
      </c>
      <c r="AM258" s="34" t="s">
        <v>545</v>
      </c>
      <c r="AN258" s="50"/>
      <c r="AO258" s="64"/>
      <c r="AQ258" s="104"/>
      <c r="AR258" s="104"/>
      <c r="AS258" s="104"/>
    </row>
    <row r="259" s="6" customFormat="1" ht="48" outlineLevel="2" spans="1:45">
      <c r="A259" s="72">
        <v>2</v>
      </c>
      <c r="B259" s="70" t="s">
        <v>546</v>
      </c>
      <c r="C259" s="105" t="s">
        <v>547</v>
      </c>
      <c r="D259" s="34" t="s">
        <v>544</v>
      </c>
      <c r="E259" s="71"/>
      <c r="F259" s="71"/>
      <c r="G259" s="72" t="s">
        <v>146</v>
      </c>
      <c r="H259" s="92"/>
      <c r="I259" s="92"/>
      <c r="J259" s="92"/>
      <c r="K259" s="92"/>
      <c r="L259" s="92"/>
      <c r="M259" s="92"/>
      <c r="N259" s="92"/>
      <c r="O259" s="92"/>
      <c r="P259" s="92"/>
      <c r="Q259" s="92"/>
      <c r="R259" s="92"/>
      <c r="S259" s="92"/>
      <c r="T259" s="92"/>
      <c r="U259" s="92"/>
      <c r="V259" s="92"/>
      <c r="W259" s="92"/>
      <c r="X259" s="92"/>
      <c r="Y259" s="92"/>
      <c r="Z259" s="92"/>
      <c r="AA259" s="92"/>
      <c r="AB259" s="92">
        <v>1</v>
      </c>
      <c r="AC259" s="46"/>
      <c r="AD259" s="46"/>
      <c r="AE259" s="46"/>
      <c r="AF259" s="26">
        <f>ROUND((AD259+AE259+AC259)*$AF$4,2)</f>
        <v>0</v>
      </c>
      <c r="AG259" s="26">
        <f>ROUND((AD259+AE259+AF259+AC259)*AG$4,2)</f>
        <v>0</v>
      </c>
      <c r="AH259" s="26">
        <f>ROUND((AD259+AE259+AF259+AG259+AC259)*AH$4,2)</f>
        <v>0</v>
      </c>
      <c r="AI259" s="26">
        <f t="shared" si="146"/>
        <v>0</v>
      </c>
      <c r="AJ259" s="26">
        <f t="shared" si="147"/>
        <v>0</v>
      </c>
      <c r="AK259" s="26">
        <f t="shared" si="148"/>
        <v>0</v>
      </c>
      <c r="AL259" s="26">
        <f t="shared" si="149"/>
        <v>0</v>
      </c>
      <c r="AM259" s="34" t="s">
        <v>545</v>
      </c>
      <c r="AN259" s="50"/>
      <c r="AO259" s="64"/>
      <c r="AQ259" s="104"/>
      <c r="AR259" s="104"/>
      <c r="AS259" s="104"/>
    </row>
    <row r="260" s="6" customFormat="1" ht="48" customHeight="1" outlineLevel="2" spans="1:45">
      <c r="A260" s="72">
        <v>3</v>
      </c>
      <c r="B260" s="70" t="s">
        <v>548</v>
      </c>
      <c r="C260" s="105" t="s">
        <v>549</v>
      </c>
      <c r="D260" s="34" t="s">
        <v>544</v>
      </c>
      <c r="E260" s="71"/>
      <c r="F260" s="71"/>
      <c r="G260" s="72" t="s">
        <v>146</v>
      </c>
      <c r="H260" s="92"/>
      <c r="I260" s="92"/>
      <c r="J260" s="92"/>
      <c r="K260" s="92"/>
      <c r="L260" s="92"/>
      <c r="M260" s="92"/>
      <c r="N260" s="92"/>
      <c r="O260" s="92"/>
      <c r="P260" s="92"/>
      <c r="Q260" s="92"/>
      <c r="R260" s="92"/>
      <c r="S260" s="92"/>
      <c r="T260" s="92"/>
      <c r="U260" s="92"/>
      <c r="V260" s="92"/>
      <c r="W260" s="92"/>
      <c r="X260" s="92"/>
      <c r="Y260" s="92"/>
      <c r="Z260" s="92"/>
      <c r="AA260" s="92"/>
      <c r="AB260" s="92">
        <v>1</v>
      </c>
      <c r="AC260" s="46"/>
      <c r="AD260" s="46"/>
      <c r="AE260" s="46"/>
      <c r="AF260" s="26">
        <f>ROUND((AD260+AE260+AC260)*$AF$4,2)</f>
        <v>0</v>
      </c>
      <c r="AG260" s="26">
        <f>ROUND((AD260+AE260+AF260+AC260)*AG$4,2)</f>
        <v>0</v>
      </c>
      <c r="AH260" s="26">
        <f>ROUND((AD260+AE260+AF260+AG260+AC260)*AH$4,2)</f>
        <v>0</v>
      </c>
      <c r="AI260" s="26">
        <f t="shared" si="146"/>
        <v>0</v>
      </c>
      <c r="AJ260" s="26">
        <f t="shared" si="147"/>
        <v>0</v>
      </c>
      <c r="AK260" s="26">
        <f t="shared" si="148"/>
        <v>0</v>
      </c>
      <c r="AL260" s="26">
        <f t="shared" si="149"/>
        <v>0</v>
      </c>
      <c r="AM260" s="34" t="s">
        <v>545</v>
      </c>
      <c r="AN260" s="50"/>
      <c r="AO260" s="64"/>
      <c r="AQ260" s="104"/>
      <c r="AR260" s="104"/>
      <c r="AS260" s="104"/>
    </row>
    <row r="261" s="6" customFormat="1" ht="48" customHeight="1" outlineLevel="2" spans="1:45">
      <c r="A261" s="72">
        <v>4</v>
      </c>
      <c r="B261" s="70" t="s">
        <v>550</v>
      </c>
      <c r="C261" s="105" t="s">
        <v>551</v>
      </c>
      <c r="D261" s="34" t="s">
        <v>544</v>
      </c>
      <c r="E261" s="71"/>
      <c r="F261" s="71"/>
      <c r="G261" s="72" t="s">
        <v>146</v>
      </c>
      <c r="H261" s="92"/>
      <c r="I261" s="92"/>
      <c r="J261" s="92"/>
      <c r="K261" s="92"/>
      <c r="L261" s="92"/>
      <c r="M261" s="92"/>
      <c r="N261" s="92"/>
      <c r="O261" s="92"/>
      <c r="P261" s="92"/>
      <c r="Q261" s="92"/>
      <c r="R261" s="92"/>
      <c r="S261" s="92"/>
      <c r="T261" s="92"/>
      <c r="U261" s="92"/>
      <c r="V261" s="92"/>
      <c r="W261" s="92"/>
      <c r="X261" s="92"/>
      <c r="Y261" s="92"/>
      <c r="Z261" s="92"/>
      <c r="AA261" s="92"/>
      <c r="AB261" s="92">
        <v>1</v>
      </c>
      <c r="AC261" s="46"/>
      <c r="AD261" s="46"/>
      <c r="AE261" s="46"/>
      <c r="AF261" s="26">
        <f>ROUND((AD261+AE261+AC261)*$AF$4,2)</f>
        <v>0</v>
      </c>
      <c r="AG261" s="26">
        <f>ROUND((AD261+AE261+AF261+AC261)*AG$4,2)</f>
        <v>0</v>
      </c>
      <c r="AH261" s="26">
        <f>ROUND((AD261+AE261+AF261+AG261+AC261)*AH$4,2)</f>
        <v>0</v>
      </c>
      <c r="AI261" s="26">
        <f t="shared" si="146"/>
        <v>0</v>
      </c>
      <c r="AJ261" s="26">
        <f t="shared" si="147"/>
        <v>0</v>
      </c>
      <c r="AK261" s="26">
        <f t="shared" si="148"/>
        <v>0</v>
      </c>
      <c r="AL261" s="26">
        <f t="shared" si="149"/>
        <v>0</v>
      </c>
      <c r="AM261" s="34" t="s">
        <v>545</v>
      </c>
      <c r="AN261" s="50"/>
      <c r="AO261" s="64"/>
      <c r="AQ261" s="104"/>
      <c r="AR261" s="104"/>
      <c r="AS261" s="104"/>
    </row>
    <row r="262" s="6" customFormat="1" ht="60" outlineLevel="2" spans="1:45">
      <c r="A262" s="72">
        <v>5</v>
      </c>
      <c r="B262" s="70" t="s">
        <v>552</v>
      </c>
      <c r="C262" s="105" t="s">
        <v>553</v>
      </c>
      <c r="D262" s="34" t="s">
        <v>544</v>
      </c>
      <c r="E262" s="71"/>
      <c r="F262" s="71"/>
      <c r="G262" s="72" t="s">
        <v>146</v>
      </c>
      <c r="H262" s="92"/>
      <c r="I262" s="92"/>
      <c r="J262" s="92"/>
      <c r="K262" s="92"/>
      <c r="L262" s="92"/>
      <c r="M262" s="92"/>
      <c r="N262" s="92"/>
      <c r="O262" s="92"/>
      <c r="P262" s="92"/>
      <c r="Q262" s="92"/>
      <c r="R262" s="92"/>
      <c r="S262" s="92"/>
      <c r="T262" s="92"/>
      <c r="U262" s="92"/>
      <c r="V262" s="92"/>
      <c r="W262" s="92"/>
      <c r="X262" s="92"/>
      <c r="Y262" s="92"/>
      <c r="Z262" s="92"/>
      <c r="AA262" s="92"/>
      <c r="AB262" s="92">
        <v>1</v>
      </c>
      <c r="AC262" s="46"/>
      <c r="AD262" s="46"/>
      <c r="AE262" s="46"/>
      <c r="AF262" s="26">
        <f>ROUND((AD262+AE262+AC262)*$AF$4,2)</f>
        <v>0</v>
      </c>
      <c r="AG262" s="26">
        <f>ROUND((AD262+AE262+AF262+AC262)*AG$4,2)</f>
        <v>0</v>
      </c>
      <c r="AH262" s="26">
        <f>ROUND((AD262+AE262+AF262+AG262+AC262)*AH$4,2)</f>
        <v>0</v>
      </c>
      <c r="AI262" s="26">
        <f t="shared" si="146"/>
        <v>0</v>
      </c>
      <c r="AJ262" s="26">
        <f t="shared" si="147"/>
        <v>0</v>
      </c>
      <c r="AK262" s="26">
        <f t="shared" si="148"/>
        <v>0</v>
      </c>
      <c r="AL262" s="26">
        <f t="shared" si="149"/>
        <v>0</v>
      </c>
      <c r="AM262" s="34" t="s">
        <v>545</v>
      </c>
      <c r="AN262" s="50"/>
      <c r="AO262" s="64"/>
      <c r="AQ262" s="104"/>
      <c r="AR262" s="104"/>
      <c r="AS262" s="104"/>
    </row>
    <row r="263" s="6" customFormat="1" ht="48" customHeight="1" outlineLevel="2" spans="1:45">
      <c r="A263" s="72">
        <v>6</v>
      </c>
      <c r="B263" s="70" t="s">
        <v>554</v>
      </c>
      <c r="C263" s="105" t="s">
        <v>555</v>
      </c>
      <c r="D263" s="34" t="s">
        <v>544</v>
      </c>
      <c r="E263" s="71"/>
      <c r="F263" s="71"/>
      <c r="G263" s="72" t="s">
        <v>146</v>
      </c>
      <c r="H263" s="92"/>
      <c r="I263" s="92"/>
      <c r="J263" s="92"/>
      <c r="K263" s="92"/>
      <c r="L263" s="92"/>
      <c r="M263" s="92"/>
      <c r="N263" s="92"/>
      <c r="O263" s="92"/>
      <c r="P263" s="92"/>
      <c r="Q263" s="92"/>
      <c r="R263" s="92"/>
      <c r="S263" s="92"/>
      <c r="T263" s="92"/>
      <c r="U263" s="92"/>
      <c r="V263" s="92"/>
      <c r="W263" s="92"/>
      <c r="X263" s="92"/>
      <c r="Y263" s="92"/>
      <c r="Z263" s="92"/>
      <c r="AA263" s="92"/>
      <c r="AB263" s="92">
        <v>1</v>
      </c>
      <c r="AC263" s="46"/>
      <c r="AD263" s="46"/>
      <c r="AE263" s="46"/>
      <c r="AF263" s="26">
        <f>ROUND((AD263+AE263+AC263)*$AF$4,2)</f>
        <v>0</v>
      </c>
      <c r="AG263" s="26">
        <f>ROUND((AD263+AE263+AF263+AC263)*AG$4,2)</f>
        <v>0</v>
      </c>
      <c r="AH263" s="26">
        <f>ROUND((AD263+AE263+AF263+AG263+AC263)*AH$4,2)</f>
        <v>0</v>
      </c>
      <c r="AI263" s="26">
        <f t="shared" si="146"/>
        <v>0</v>
      </c>
      <c r="AJ263" s="26">
        <f t="shared" si="147"/>
        <v>0</v>
      </c>
      <c r="AK263" s="26">
        <f t="shared" si="148"/>
        <v>0</v>
      </c>
      <c r="AL263" s="26">
        <f t="shared" si="149"/>
        <v>0</v>
      </c>
      <c r="AM263" s="34" t="s">
        <v>545</v>
      </c>
      <c r="AN263" s="50"/>
      <c r="AO263" s="64"/>
      <c r="AQ263" s="104"/>
      <c r="AR263" s="104"/>
      <c r="AS263" s="104"/>
    </row>
    <row r="264" s="6" customFormat="1" ht="48" customHeight="1" outlineLevel="2" spans="1:45">
      <c r="A264" s="72">
        <v>7</v>
      </c>
      <c r="B264" s="70" t="s">
        <v>556</v>
      </c>
      <c r="C264" s="105" t="s">
        <v>557</v>
      </c>
      <c r="D264" s="34" t="s">
        <v>544</v>
      </c>
      <c r="E264" s="71"/>
      <c r="F264" s="71"/>
      <c r="G264" s="72" t="s">
        <v>146</v>
      </c>
      <c r="H264" s="92"/>
      <c r="I264" s="92"/>
      <c r="J264" s="92"/>
      <c r="K264" s="92"/>
      <c r="L264" s="92"/>
      <c r="M264" s="92"/>
      <c r="N264" s="92"/>
      <c r="O264" s="92"/>
      <c r="P264" s="92"/>
      <c r="Q264" s="92"/>
      <c r="R264" s="92"/>
      <c r="S264" s="92"/>
      <c r="T264" s="92"/>
      <c r="U264" s="92"/>
      <c r="V264" s="92"/>
      <c r="W264" s="92"/>
      <c r="X264" s="92"/>
      <c r="Y264" s="92"/>
      <c r="Z264" s="92"/>
      <c r="AA264" s="92"/>
      <c r="AB264" s="92">
        <v>1</v>
      </c>
      <c r="AC264" s="46"/>
      <c r="AD264" s="46"/>
      <c r="AE264" s="46"/>
      <c r="AF264" s="26">
        <f>ROUND((AD264+AE264+AC264)*$AF$4,2)</f>
        <v>0</v>
      </c>
      <c r="AG264" s="26">
        <f>ROUND((AD264+AE264+AF264+AC264)*AG$4,2)</f>
        <v>0</v>
      </c>
      <c r="AH264" s="26">
        <f>ROUND((AD264+AE264+AF264+AG264+AC264)*AH$4,2)</f>
        <v>0</v>
      </c>
      <c r="AI264" s="26">
        <f t="shared" si="146"/>
        <v>0</v>
      </c>
      <c r="AJ264" s="26">
        <f t="shared" si="147"/>
        <v>0</v>
      </c>
      <c r="AK264" s="26">
        <f t="shared" si="148"/>
        <v>0</v>
      </c>
      <c r="AL264" s="26">
        <f t="shared" si="149"/>
        <v>0</v>
      </c>
      <c r="AM264" s="34" t="s">
        <v>545</v>
      </c>
      <c r="AN264" s="50"/>
      <c r="AO264" s="64"/>
      <c r="AQ264" s="104"/>
      <c r="AR264" s="104"/>
      <c r="AS264" s="104"/>
    </row>
    <row r="265" s="6" customFormat="1" ht="48" customHeight="1" outlineLevel="2" spans="1:45">
      <c r="A265" s="72">
        <v>8</v>
      </c>
      <c r="B265" s="70" t="s">
        <v>558</v>
      </c>
      <c r="C265" s="105" t="s">
        <v>559</v>
      </c>
      <c r="D265" s="34" t="s">
        <v>544</v>
      </c>
      <c r="E265" s="71"/>
      <c r="F265" s="71"/>
      <c r="G265" s="72" t="s">
        <v>146</v>
      </c>
      <c r="H265" s="92"/>
      <c r="I265" s="92"/>
      <c r="J265" s="92"/>
      <c r="K265" s="92"/>
      <c r="L265" s="92"/>
      <c r="M265" s="92"/>
      <c r="N265" s="92"/>
      <c r="O265" s="92"/>
      <c r="P265" s="92"/>
      <c r="Q265" s="92"/>
      <c r="R265" s="92"/>
      <c r="S265" s="92"/>
      <c r="T265" s="92"/>
      <c r="U265" s="92"/>
      <c r="V265" s="92"/>
      <c r="W265" s="92"/>
      <c r="X265" s="92"/>
      <c r="Y265" s="92"/>
      <c r="Z265" s="92"/>
      <c r="AA265" s="92"/>
      <c r="AB265" s="92">
        <v>1</v>
      </c>
      <c r="AC265" s="46"/>
      <c r="AD265" s="46"/>
      <c r="AE265" s="46"/>
      <c r="AF265" s="26">
        <f>ROUND((AD265+AE265+AC265)*$AF$4,2)</f>
        <v>0</v>
      </c>
      <c r="AG265" s="26">
        <f>ROUND((AD265+AE265+AF265+AC265)*AG$4,2)</f>
        <v>0</v>
      </c>
      <c r="AH265" s="26">
        <f>ROUND((AD265+AE265+AF265+AG265+AC265)*AH$4,2)</f>
        <v>0</v>
      </c>
      <c r="AI265" s="26">
        <f t="shared" si="146"/>
        <v>0</v>
      </c>
      <c r="AJ265" s="26">
        <f t="shared" si="147"/>
        <v>0</v>
      </c>
      <c r="AK265" s="26">
        <f t="shared" si="148"/>
        <v>0</v>
      </c>
      <c r="AL265" s="26">
        <f t="shared" si="149"/>
        <v>0</v>
      </c>
      <c r="AM265" s="34" t="s">
        <v>545</v>
      </c>
      <c r="AN265" s="50"/>
      <c r="AO265" s="64"/>
      <c r="AQ265" s="104"/>
      <c r="AR265" s="104"/>
      <c r="AS265" s="104"/>
    </row>
    <row r="266" s="6" customFormat="1" ht="48" customHeight="1" outlineLevel="2" spans="1:45">
      <c r="A266" s="72">
        <v>9</v>
      </c>
      <c r="B266" s="70" t="s">
        <v>560</v>
      </c>
      <c r="C266" s="105" t="s">
        <v>561</v>
      </c>
      <c r="D266" s="34" t="s">
        <v>544</v>
      </c>
      <c r="E266" s="71"/>
      <c r="F266" s="71"/>
      <c r="G266" s="72" t="s">
        <v>146</v>
      </c>
      <c r="H266" s="92"/>
      <c r="I266" s="92"/>
      <c r="J266" s="92"/>
      <c r="K266" s="92"/>
      <c r="L266" s="92"/>
      <c r="M266" s="92"/>
      <c r="N266" s="92"/>
      <c r="O266" s="92"/>
      <c r="P266" s="92"/>
      <c r="Q266" s="92"/>
      <c r="R266" s="92"/>
      <c r="S266" s="92"/>
      <c r="T266" s="92"/>
      <c r="U266" s="92"/>
      <c r="V266" s="92"/>
      <c r="W266" s="92"/>
      <c r="X266" s="92"/>
      <c r="Y266" s="92"/>
      <c r="Z266" s="92"/>
      <c r="AA266" s="92"/>
      <c r="AB266" s="92">
        <v>1</v>
      </c>
      <c r="AC266" s="46"/>
      <c r="AD266" s="46"/>
      <c r="AE266" s="46"/>
      <c r="AF266" s="26">
        <f>ROUND((AD266+AE266+AC266)*$AF$4,2)</f>
        <v>0</v>
      </c>
      <c r="AG266" s="26">
        <f>ROUND((AD266+AE266+AF266+AC266)*AG$4,2)</f>
        <v>0</v>
      </c>
      <c r="AH266" s="26">
        <f>ROUND((AD266+AE266+AF266+AG266+AC266)*AH$4,2)</f>
        <v>0</v>
      </c>
      <c r="AI266" s="26">
        <f t="shared" si="146"/>
        <v>0</v>
      </c>
      <c r="AJ266" s="26">
        <f t="shared" si="147"/>
        <v>0</v>
      </c>
      <c r="AK266" s="26">
        <f t="shared" si="148"/>
        <v>0</v>
      </c>
      <c r="AL266" s="26">
        <f t="shared" si="149"/>
        <v>0</v>
      </c>
      <c r="AM266" s="34" t="s">
        <v>545</v>
      </c>
      <c r="AN266" s="50"/>
      <c r="AO266" s="64"/>
      <c r="AQ266" s="104"/>
      <c r="AR266" s="104"/>
      <c r="AS266" s="104"/>
    </row>
    <row r="267" s="6" customFormat="1" ht="48" customHeight="1" outlineLevel="2" spans="1:45">
      <c r="A267" s="72">
        <v>10</v>
      </c>
      <c r="B267" s="70" t="s">
        <v>562</v>
      </c>
      <c r="C267" s="105" t="s">
        <v>563</v>
      </c>
      <c r="D267" s="34" t="s">
        <v>544</v>
      </c>
      <c r="E267" s="71"/>
      <c r="F267" s="71"/>
      <c r="G267" s="72" t="s">
        <v>146</v>
      </c>
      <c r="H267" s="92"/>
      <c r="I267" s="92"/>
      <c r="J267" s="92"/>
      <c r="K267" s="92"/>
      <c r="L267" s="92"/>
      <c r="M267" s="92"/>
      <c r="N267" s="92"/>
      <c r="O267" s="92"/>
      <c r="P267" s="92"/>
      <c r="Q267" s="92"/>
      <c r="R267" s="92"/>
      <c r="S267" s="92"/>
      <c r="T267" s="92"/>
      <c r="U267" s="92"/>
      <c r="V267" s="92"/>
      <c r="W267" s="92"/>
      <c r="X267" s="92"/>
      <c r="Y267" s="92"/>
      <c r="Z267" s="92"/>
      <c r="AA267" s="92"/>
      <c r="AB267" s="92">
        <v>1</v>
      </c>
      <c r="AC267" s="46"/>
      <c r="AD267" s="46"/>
      <c r="AE267" s="46"/>
      <c r="AF267" s="26">
        <f>ROUND((AD267+AE267+AC267)*$AF$4,2)</f>
        <v>0</v>
      </c>
      <c r="AG267" s="26">
        <f>ROUND((AD267+AE267+AF267+AC267)*AG$4,2)</f>
        <v>0</v>
      </c>
      <c r="AH267" s="26">
        <f>ROUND((AD267+AE267+AF267+AG267+AC267)*AH$4,2)</f>
        <v>0</v>
      </c>
      <c r="AI267" s="26">
        <f t="shared" si="146"/>
        <v>0</v>
      </c>
      <c r="AJ267" s="26">
        <f t="shared" si="147"/>
        <v>0</v>
      </c>
      <c r="AK267" s="26">
        <f t="shared" si="148"/>
        <v>0</v>
      </c>
      <c r="AL267" s="26">
        <f t="shared" si="149"/>
        <v>0</v>
      </c>
      <c r="AM267" s="34" t="s">
        <v>545</v>
      </c>
      <c r="AN267" s="50"/>
      <c r="AO267" s="64"/>
      <c r="AQ267" s="104"/>
      <c r="AR267" s="104"/>
      <c r="AS267" s="104"/>
    </row>
    <row r="268" s="6" customFormat="1" ht="36" outlineLevel="2" spans="1:45">
      <c r="A268" s="72">
        <v>11</v>
      </c>
      <c r="B268" s="70" t="s">
        <v>564</v>
      </c>
      <c r="C268" s="105" t="s">
        <v>565</v>
      </c>
      <c r="D268" s="34" t="s">
        <v>544</v>
      </c>
      <c r="E268" s="71"/>
      <c r="F268" s="71"/>
      <c r="G268" s="72" t="s">
        <v>146</v>
      </c>
      <c r="H268" s="92"/>
      <c r="I268" s="92"/>
      <c r="J268" s="92"/>
      <c r="K268" s="92"/>
      <c r="L268" s="92"/>
      <c r="M268" s="92"/>
      <c r="N268" s="92"/>
      <c r="O268" s="92"/>
      <c r="P268" s="92"/>
      <c r="Q268" s="92"/>
      <c r="R268" s="92"/>
      <c r="S268" s="92"/>
      <c r="T268" s="92"/>
      <c r="U268" s="92"/>
      <c r="V268" s="92"/>
      <c r="W268" s="92"/>
      <c r="X268" s="92"/>
      <c r="Y268" s="92"/>
      <c r="Z268" s="92"/>
      <c r="AA268" s="92"/>
      <c r="AB268" s="92">
        <v>1</v>
      </c>
      <c r="AC268" s="46"/>
      <c r="AD268" s="46"/>
      <c r="AE268" s="46"/>
      <c r="AF268" s="26">
        <f>ROUND((AD268+AE268+AC268)*$AF$4,2)</f>
        <v>0</v>
      </c>
      <c r="AG268" s="26">
        <f>ROUND((AD268+AE268+AF268+AC268)*AG$4,2)</f>
        <v>0</v>
      </c>
      <c r="AH268" s="26">
        <f>ROUND((AD268+AE268+AF268+AG268+AC268)*AH$4,2)</f>
        <v>0</v>
      </c>
      <c r="AI268" s="26">
        <f t="shared" si="146"/>
        <v>0</v>
      </c>
      <c r="AJ268" s="26">
        <f t="shared" si="147"/>
        <v>0</v>
      </c>
      <c r="AK268" s="26">
        <f t="shared" si="148"/>
        <v>0</v>
      </c>
      <c r="AL268" s="26">
        <f t="shared" si="149"/>
        <v>0</v>
      </c>
      <c r="AM268" s="34" t="s">
        <v>545</v>
      </c>
      <c r="AN268" s="50"/>
      <c r="AO268" s="64"/>
      <c r="AQ268" s="104"/>
      <c r="AR268" s="104"/>
      <c r="AS268" s="104"/>
    </row>
    <row r="269" s="6" customFormat="1" ht="48" outlineLevel="2" spans="1:45">
      <c r="A269" s="72">
        <v>12</v>
      </c>
      <c r="B269" s="39" t="s">
        <v>239</v>
      </c>
      <c r="C269" s="39" t="s">
        <v>566</v>
      </c>
      <c r="D269" s="34" t="s">
        <v>544</v>
      </c>
      <c r="E269" s="71"/>
      <c r="F269" s="71"/>
      <c r="G269" s="72" t="s">
        <v>146</v>
      </c>
      <c r="H269" s="92"/>
      <c r="I269" s="92"/>
      <c r="J269" s="92"/>
      <c r="K269" s="92"/>
      <c r="L269" s="92"/>
      <c r="M269" s="92"/>
      <c r="N269" s="92"/>
      <c r="O269" s="92"/>
      <c r="P269" s="92"/>
      <c r="Q269" s="92"/>
      <c r="R269" s="92"/>
      <c r="S269" s="92"/>
      <c r="T269" s="92"/>
      <c r="U269" s="92"/>
      <c r="V269" s="92"/>
      <c r="W269" s="92"/>
      <c r="X269" s="92"/>
      <c r="Y269" s="92"/>
      <c r="Z269" s="92"/>
      <c r="AA269" s="92"/>
      <c r="AB269" s="92">
        <v>1</v>
      </c>
      <c r="AC269" s="46"/>
      <c r="AD269" s="46"/>
      <c r="AE269" s="46"/>
      <c r="AF269" s="26">
        <f>ROUND((AD269+AE269+AC269)*$AF$4,2)</f>
        <v>0</v>
      </c>
      <c r="AG269" s="26">
        <f>ROUND((AD269+AE269+AF269+AC269)*AG$4,2)</f>
        <v>0</v>
      </c>
      <c r="AH269" s="26">
        <f>ROUND((AD269+AE269+AF269+AG269+AC269)*AH$4,2)</f>
        <v>0</v>
      </c>
      <c r="AI269" s="26">
        <f t="shared" si="146"/>
        <v>0</v>
      </c>
      <c r="AJ269" s="26">
        <f t="shared" si="147"/>
        <v>0</v>
      </c>
      <c r="AK269" s="26">
        <f t="shared" si="148"/>
        <v>0</v>
      </c>
      <c r="AL269" s="26">
        <f t="shared" si="149"/>
        <v>0</v>
      </c>
      <c r="AM269" s="34"/>
      <c r="AN269" s="50"/>
      <c r="AO269" s="64"/>
      <c r="AQ269" s="104"/>
      <c r="AR269" s="104"/>
      <c r="AS269" s="104"/>
    </row>
    <row r="270" s="6" customFormat="1" ht="30" customHeight="1" outlineLevel="1" spans="1:45">
      <c r="A270" s="13" t="s">
        <v>176</v>
      </c>
      <c r="B270" s="13" t="s">
        <v>177</v>
      </c>
      <c r="C270" s="21" t="s">
        <v>356</v>
      </c>
      <c r="D270" s="36"/>
      <c r="E270" s="106"/>
      <c r="F270" s="106"/>
      <c r="G270" s="13" t="s">
        <v>179</v>
      </c>
      <c r="H270" s="16"/>
      <c r="I270" s="16"/>
      <c r="J270" s="16"/>
      <c r="K270" s="16"/>
      <c r="L270" s="16"/>
      <c r="M270" s="16"/>
      <c r="N270" s="16"/>
      <c r="O270" s="16"/>
      <c r="P270" s="16"/>
      <c r="Q270" s="16"/>
      <c r="R270" s="16"/>
      <c r="S270" s="16"/>
      <c r="T270" s="16"/>
      <c r="U270" s="16"/>
      <c r="V270" s="16"/>
      <c r="W270" s="16"/>
      <c r="X270" s="16"/>
      <c r="Y270" s="16"/>
      <c r="Z270" s="16"/>
      <c r="AA270" s="16"/>
      <c r="AB270" s="115"/>
      <c r="AC270" s="115"/>
      <c r="AD270" s="115"/>
      <c r="AE270" s="115"/>
      <c r="AF270" s="115"/>
      <c r="AG270" s="115"/>
      <c r="AH270" s="115"/>
      <c r="AI270" s="115"/>
      <c r="AJ270" s="115"/>
      <c r="AK270" s="116">
        <f>AK254+AK257</f>
        <v>0</v>
      </c>
      <c r="AL270" s="116">
        <f>AL254+AL257</f>
        <v>0</v>
      </c>
      <c r="AM270" s="117"/>
      <c r="AN270" s="4"/>
      <c r="AQ270" s="104"/>
      <c r="AR270" s="104"/>
      <c r="AS270" s="104"/>
    </row>
    <row r="271" s="1" customFormat="1" ht="37" customHeight="1" spans="1:45">
      <c r="A271" s="17" t="s">
        <v>567</v>
      </c>
      <c r="B271" s="17"/>
      <c r="C271" s="17"/>
      <c r="D271" s="18"/>
      <c r="E271" s="81"/>
      <c r="F271" s="81"/>
      <c r="G271" s="81"/>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5">
        <f>AK284</f>
        <v>0</v>
      </c>
      <c r="AL271" s="85">
        <f>AL284</f>
        <v>0</v>
      </c>
      <c r="AM271" s="81"/>
      <c r="AN271" s="50"/>
      <c r="AO271" s="60"/>
      <c r="AP271" s="61"/>
      <c r="AQ271" s="60"/>
      <c r="AR271" s="60"/>
      <c r="AS271" s="60"/>
    </row>
    <row r="272" s="1" customFormat="1" ht="30" customHeight="1" outlineLevel="1" spans="1:45">
      <c r="A272" s="90" t="s">
        <v>568</v>
      </c>
      <c r="B272" s="70"/>
      <c r="C272" s="39"/>
      <c r="D272" s="34"/>
      <c r="E272" s="71"/>
      <c r="F272" s="71"/>
      <c r="G272" s="72"/>
      <c r="H272" s="40"/>
      <c r="I272" s="40"/>
      <c r="J272" s="40"/>
      <c r="K272" s="40"/>
      <c r="L272" s="40"/>
      <c r="M272" s="40"/>
      <c r="N272" s="40"/>
      <c r="O272" s="40"/>
      <c r="P272" s="40"/>
      <c r="Q272" s="40"/>
      <c r="R272" s="40"/>
      <c r="S272" s="40"/>
      <c r="T272" s="40"/>
      <c r="U272" s="40"/>
      <c r="V272" s="40"/>
      <c r="W272" s="40"/>
      <c r="X272" s="40"/>
      <c r="Y272" s="40"/>
      <c r="Z272" s="40"/>
      <c r="AA272" s="40"/>
      <c r="AB272" s="92"/>
      <c r="AC272" s="46"/>
      <c r="AD272" s="46"/>
      <c r="AE272" s="46"/>
      <c r="AF272" s="26"/>
      <c r="AG272" s="26"/>
      <c r="AH272" s="26"/>
      <c r="AI272" s="26"/>
      <c r="AJ272" s="26"/>
      <c r="AK272" s="16">
        <f>SUM(AK273:AK283)</f>
        <v>0</v>
      </c>
      <c r="AL272" s="16">
        <f>SUM(AL273:AL283)</f>
        <v>0</v>
      </c>
      <c r="AM272" s="24"/>
      <c r="AN272" s="9"/>
      <c r="AP272" s="61"/>
      <c r="AQ272" s="60"/>
      <c r="AR272" s="60"/>
      <c r="AS272" s="60"/>
    </row>
    <row r="273" s="1" customFormat="1" ht="48" customHeight="1" outlineLevel="2" spans="1:45">
      <c r="A273" s="72">
        <v>1</v>
      </c>
      <c r="B273" s="70" t="s">
        <v>569</v>
      </c>
      <c r="C273" s="105" t="s">
        <v>570</v>
      </c>
      <c r="D273" s="34" t="s">
        <v>544</v>
      </c>
      <c r="E273" s="71"/>
      <c r="F273" s="71"/>
      <c r="G273" s="72" t="s">
        <v>146</v>
      </c>
      <c r="H273" s="40"/>
      <c r="I273" s="40"/>
      <c r="J273" s="40"/>
      <c r="K273" s="40"/>
      <c r="L273" s="40"/>
      <c r="M273" s="40"/>
      <c r="N273" s="40"/>
      <c r="O273" s="40"/>
      <c r="P273" s="40"/>
      <c r="Q273" s="40"/>
      <c r="R273" s="40"/>
      <c r="S273" s="40"/>
      <c r="T273" s="40"/>
      <c r="U273" s="40"/>
      <c r="V273" s="40"/>
      <c r="W273" s="40"/>
      <c r="X273" s="40"/>
      <c r="Y273" s="40"/>
      <c r="Z273" s="40"/>
      <c r="AA273" s="40"/>
      <c r="AB273" s="92">
        <v>1</v>
      </c>
      <c r="AC273" s="46"/>
      <c r="AD273" s="46"/>
      <c r="AE273" s="46"/>
      <c r="AF273" s="26">
        <f>ROUND((AD273+AE273+AC273)*$AF$4,2)</f>
        <v>0</v>
      </c>
      <c r="AG273" s="26">
        <f>ROUND((AD273+AE273+AF273+AC273)*AG$4,2)</f>
        <v>0</v>
      </c>
      <c r="AH273" s="26">
        <f>ROUND((AD273+AE273+AF273+AG273+AC273)*AH$4,2)</f>
        <v>0</v>
      </c>
      <c r="AI273" s="26">
        <f t="shared" ref="AI273:AI283" si="150">ROUND((AD273+AE273+AF273+AG273+AC273),2)</f>
        <v>0</v>
      </c>
      <c r="AJ273" s="26">
        <f t="shared" ref="AJ273:AJ283" si="151">ROUND((AD273+AE273+AF273+AG273+AH273+AC273),2)</f>
        <v>0</v>
      </c>
      <c r="AK273" s="26">
        <f t="shared" ref="AK273:AK283" si="152">ROUND((AI273*AB273),2)</f>
        <v>0</v>
      </c>
      <c r="AL273" s="26">
        <f t="shared" ref="AL273:AL283" si="153">ROUND((AJ273*AB273),2)</f>
        <v>0</v>
      </c>
      <c r="AM273" s="34" t="s">
        <v>545</v>
      </c>
      <c r="AN273" s="9"/>
      <c r="AP273" s="61"/>
      <c r="AQ273" s="60"/>
      <c r="AR273" s="60"/>
      <c r="AS273" s="60"/>
    </row>
    <row r="274" s="1" customFormat="1" ht="48" customHeight="1" outlineLevel="2" spans="1:45">
      <c r="A274" s="72">
        <v>2</v>
      </c>
      <c r="B274" s="70" t="s">
        <v>571</v>
      </c>
      <c r="C274" s="105" t="s">
        <v>572</v>
      </c>
      <c r="D274" s="34" t="s">
        <v>544</v>
      </c>
      <c r="E274" s="71"/>
      <c r="F274" s="71"/>
      <c r="G274" s="72" t="s">
        <v>146</v>
      </c>
      <c r="H274" s="40"/>
      <c r="I274" s="40"/>
      <c r="J274" s="40"/>
      <c r="K274" s="40"/>
      <c r="L274" s="40"/>
      <c r="M274" s="40"/>
      <c r="N274" s="40"/>
      <c r="O274" s="40"/>
      <c r="P274" s="40"/>
      <c r="Q274" s="40"/>
      <c r="R274" s="40"/>
      <c r="S274" s="40"/>
      <c r="T274" s="40"/>
      <c r="U274" s="40"/>
      <c r="V274" s="40"/>
      <c r="W274" s="40"/>
      <c r="X274" s="40"/>
      <c r="Y274" s="40"/>
      <c r="Z274" s="40"/>
      <c r="AA274" s="40"/>
      <c r="AB274" s="92">
        <v>1</v>
      </c>
      <c r="AC274" s="46"/>
      <c r="AD274" s="46"/>
      <c r="AE274" s="46"/>
      <c r="AF274" s="26">
        <f>ROUND((AD274+AE274+AC274)*$AF$4,2)</f>
        <v>0</v>
      </c>
      <c r="AG274" s="26">
        <f>ROUND((AD274+AE274+AF274+AC274)*AG$4,2)</f>
        <v>0</v>
      </c>
      <c r="AH274" s="26">
        <f>ROUND((AD274+AE274+AF274+AG274+AC274)*AH$4,2)</f>
        <v>0</v>
      </c>
      <c r="AI274" s="26">
        <f t="shared" si="150"/>
        <v>0</v>
      </c>
      <c r="AJ274" s="26">
        <f t="shared" si="151"/>
        <v>0</v>
      </c>
      <c r="AK274" s="26">
        <f t="shared" si="152"/>
        <v>0</v>
      </c>
      <c r="AL274" s="26">
        <f t="shared" si="153"/>
        <v>0</v>
      </c>
      <c r="AM274" s="34" t="s">
        <v>545</v>
      </c>
      <c r="AN274" s="9"/>
      <c r="AP274" s="61"/>
      <c r="AQ274" s="60"/>
      <c r="AR274" s="60"/>
      <c r="AS274" s="60"/>
    </row>
    <row r="275" s="1" customFormat="1" ht="60" outlineLevel="2" spans="1:45">
      <c r="A275" s="72">
        <v>3</v>
      </c>
      <c r="B275" s="70" t="s">
        <v>573</v>
      </c>
      <c r="C275" s="105" t="s">
        <v>574</v>
      </c>
      <c r="D275" s="34" t="s">
        <v>544</v>
      </c>
      <c r="E275" s="71"/>
      <c r="F275" s="71"/>
      <c r="G275" s="72" t="s">
        <v>146</v>
      </c>
      <c r="H275" s="40"/>
      <c r="I275" s="40"/>
      <c r="J275" s="40"/>
      <c r="K275" s="40"/>
      <c r="L275" s="40"/>
      <c r="M275" s="40"/>
      <c r="N275" s="40"/>
      <c r="O275" s="40"/>
      <c r="P275" s="40"/>
      <c r="Q275" s="40"/>
      <c r="R275" s="40"/>
      <c r="S275" s="40"/>
      <c r="T275" s="40"/>
      <c r="U275" s="40"/>
      <c r="V275" s="40"/>
      <c r="W275" s="40"/>
      <c r="X275" s="40"/>
      <c r="Y275" s="40"/>
      <c r="Z275" s="40"/>
      <c r="AA275" s="40"/>
      <c r="AB275" s="92">
        <v>1</v>
      </c>
      <c r="AC275" s="46"/>
      <c r="AD275" s="46"/>
      <c r="AE275" s="46"/>
      <c r="AF275" s="26">
        <f>ROUND((AD275+AE275+AC275)*$AF$4,2)</f>
        <v>0</v>
      </c>
      <c r="AG275" s="26">
        <f>ROUND((AD275+AE275+AF275+AC275)*AG$4,2)</f>
        <v>0</v>
      </c>
      <c r="AH275" s="26">
        <f>ROUND((AD275+AE275+AF275+AG275+AC275)*AH$4,2)</f>
        <v>0</v>
      </c>
      <c r="AI275" s="26">
        <f t="shared" si="150"/>
        <v>0</v>
      </c>
      <c r="AJ275" s="26">
        <f t="shared" si="151"/>
        <v>0</v>
      </c>
      <c r="AK275" s="26">
        <f t="shared" si="152"/>
        <v>0</v>
      </c>
      <c r="AL275" s="26">
        <f t="shared" si="153"/>
        <v>0</v>
      </c>
      <c r="AM275" s="34" t="s">
        <v>545</v>
      </c>
      <c r="AN275" s="9"/>
      <c r="AP275" s="61"/>
      <c r="AQ275" s="60"/>
      <c r="AR275" s="60"/>
      <c r="AS275" s="60"/>
    </row>
    <row r="276" s="1" customFormat="1" ht="48" customHeight="1" outlineLevel="2" spans="1:45">
      <c r="A276" s="72">
        <v>4</v>
      </c>
      <c r="B276" s="70" t="s">
        <v>575</v>
      </c>
      <c r="C276" s="105" t="s">
        <v>576</v>
      </c>
      <c r="D276" s="34" t="s">
        <v>544</v>
      </c>
      <c r="E276" s="71"/>
      <c r="F276" s="71"/>
      <c r="G276" s="72" t="s">
        <v>146</v>
      </c>
      <c r="H276" s="40"/>
      <c r="I276" s="40"/>
      <c r="J276" s="40"/>
      <c r="K276" s="40"/>
      <c r="L276" s="40"/>
      <c r="M276" s="40"/>
      <c r="N276" s="40"/>
      <c r="O276" s="40"/>
      <c r="P276" s="40"/>
      <c r="Q276" s="40"/>
      <c r="R276" s="40"/>
      <c r="S276" s="40"/>
      <c r="T276" s="40"/>
      <c r="U276" s="40"/>
      <c r="V276" s="40"/>
      <c r="W276" s="40"/>
      <c r="X276" s="40"/>
      <c r="Y276" s="40"/>
      <c r="Z276" s="40"/>
      <c r="AA276" s="40"/>
      <c r="AB276" s="92">
        <v>1</v>
      </c>
      <c r="AC276" s="46"/>
      <c r="AD276" s="46"/>
      <c r="AE276" s="46"/>
      <c r="AF276" s="26">
        <f>ROUND((AD276+AE276+AC276)*$AF$4,2)</f>
        <v>0</v>
      </c>
      <c r="AG276" s="26">
        <f>ROUND((AD276+AE276+AF276+AC276)*AG$4,2)</f>
        <v>0</v>
      </c>
      <c r="AH276" s="26">
        <f>ROUND((AD276+AE276+AF276+AG276+AC276)*AH$4,2)</f>
        <v>0</v>
      </c>
      <c r="AI276" s="26">
        <f t="shared" si="150"/>
        <v>0</v>
      </c>
      <c r="AJ276" s="26">
        <f t="shared" si="151"/>
        <v>0</v>
      </c>
      <c r="AK276" s="26">
        <f t="shared" si="152"/>
        <v>0</v>
      </c>
      <c r="AL276" s="26">
        <f t="shared" si="153"/>
        <v>0</v>
      </c>
      <c r="AM276" s="34" t="s">
        <v>545</v>
      </c>
      <c r="AN276" s="9"/>
      <c r="AP276" s="61"/>
      <c r="AQ276" s="60"/>
      <c r="AR276" s="60"/>
      <c r="AS276" s="60"/>
    </row>
    <row r="277" s="1" customFormat="1" ht="48" customHeight="1" outlineLevel="2" spans="1:45">
      <c r="A277" s="72">
        <v>5</v>
      </c>
      <c r="B277" s="70" t="s">
        <v>577</v>
      </c>
      <c r="C277" s="105" t="s">
        <v>578</v>
      </c>
      <c r="D277" s="34" t="s">
        <v>544</v>
      </c>
      <c r="E277" s="71"/>
      <c r="F277" s="71"/>
      <c r="G277" s="72" t="s">
        <v>146</v>
      </c>
      <c r="H277" s="40"/>
      <c r="I277" s="40"/>
      <c r="J277" s="40"/>
      <c r="K277" s="40"/>
      <c r="L277" s="40"/>
      <c r="M277" s="40"/>
      <c r="N277" s="40"/>
      <c r="O277" s="40"/>
      <c r="P277" s="40"/>
      <c r="Q277" s="40"/>
      <c r="R277" s="40"/>
      <c r="S277" s="40"/>
      <c r="T277" s="40"/>
      <c r="U277" s="40"/>
      <c r="V277" s="40"/>
      <c r="W277" s="40"/>
      <c r="X277" s="40"/>
      <c r="Y277" s="40"/>
      <c r="Z277" s="40"/>
      <c r="AA277" s="40"/>
      <c r="AB277" s="92">
        <v>1</v>
      </c>
      <c r="AC277" s="46"/>
      <c r="AD277" s="46"/>
      <c r="AE277" s="46"/>
      <c r="AF277" s="26">
        <f>ROUND((AD277+AE277+AC277)*$AF$4,2)</f>
        <v>0</v>
      </c>
      <c r="AG277" s="26">
        <f>ROUND((AD277+AE277+AF277+AC277)*AG$4,2)</f>
        <v>0</v>
      </c>
      <c r="AH277" s="26">
        <f>ROUND((AD277+AE277+AF277+AG277+AC277)*AH$4,2)</f>
        <v>0</v>
      </c>
      <c r="AI277" s="26">
        <f t="shared" si="150"/>
        <v>0</v>
      </c>
      <c r="AJ277" s="26">
        <f t="shared" si="151"/>
        <v>0</v>
      </c>
      <c r="AK277" s="26">
        <f t="shared" si="152"/>
        <v>0</v>
      </c>
      <c r="AL277" s="26">
        <f t="shared" si="153"/>
        <v>0</v>
      </c>
      <c r="AM277" s="34" t="s">
        <v>545</v>
      </c>
      <c r="AN277" s="9"/>
      <c r="AP277" s="61"/>
      <c r="AQ277" s="60"/>
      <c r="AR277" s="60"/>
      <c r="AS277" s="60"/>
    </row>
    <row r="278" s="1" customFormat="1" ht="48" customHeight="1" outlineLevel="2" spans="1:45">
      <c r="A278" s="72">
        <v>6</v>
      </c>
      <c r="B278" s="70" t="s">
        <v>579</v>
      </c>
      <c r="C278" s="105" t="s">
        <v>580</v>
      </c>
      <c r="D278" s="34" t="s">
        <v>544</v>
      </c>
      <c r="E278" s="71"/>
      <c r="F278" s="71"/>
      <c r="G278" s="72" t="s">
        <v>146</v>
      </c>
      <c r="H278" s="40"/>
      <c r="I278" s="40"/>
      <c r="J278" s="40"/>
      <c r="K278" s="40"/>
      <c r="L278" s="40"/>
      <c r="M278" s="40"/>
      <c r="N278" s="40"/>
      <c r="O278" s="40"/>
      <c r="P278" s="40"/>
      <c r="Q278" s="40"/>
      <c r="R278" s="40"/>
      <c r="S278" s="40"/>
      <c r="T278" s="40"/>
      <c r="U278" s="40"/>
      <c r="V278" s="40"/>
      <c r="W278" s="40"/>
      <c r="X278" s="40"/>
      <c r="Y278" s="40"/>
      <c r="Z278" s="40"/>
      <c r="AA278" s="40"/>
      <c r="AB278" s="92">
        <v>1</v>
      </c>
      <c r="AC278" s="46"/>
      <c r="AD278" s="46"/>
      <c r="AE278" s="46"/>
      <c r="AF278" s="26">
        <f>ROUND((AD278+AE278+AC278)*$AF$4,2)</f>
        <v>0</v>
      </c>
      <c r="AG278" s="26">
        <f>ROUND((AD278+AE278+AF278+AC278)*AG$4,2)</f>
        <v>0</v>
      </c>
      <c r="AH278" s="26">
        <f>ROUND((AD278+AE278+AF278+AG278+AC278)*AH$4,2)</f>
        <v>0</v>
      </c>
      <c r="AI278" s="26">
        <f t="shared" si="150"/>
        <v>0</v>
      </c>
      <c r="AJ278" s="26">
        <f t="shared" si="151"/>
        <v>0</v>
      </c>
      <c r="AK278" s="26">
        <f t="shared" si="152"/>
        <v>0</v>
      </c>
      <c r="AL278" s="26">
        <f t="shared" si="153"/>
        <v>0</v>
      </c>
      <c r="AM278" s="34" t="s">
        <v>545</v>
      </c>
      <c r="AN278" s="9"/>
      <c r="AP278" s="61"/>
      <c r="AQ278" s="60"/>
      <c r="AR278" s="60"/>
      <c r="AS278" s="60"/>
    </row>
    <row r="279" s="1" customFormat="1" ht="72" outlineLevel="2" spans="1:45">
      <c r="A279" s="72">
        <v>7</v>
      </c>
      <c r="B279" s="70" t="s">
        <v>581</v>
      </c>
      <c r="C279" s="105" t="s">
        <v>582</v>
      </c>
      <c r="D279" s="34" t="s">
        <v>544</v>
      </c>
      <c r="E279" s="71"/>
      <c r="F279" s="71"/>
      <c r="G279" s="72" t="s">
        <v>146</v>
      </c>
      <c r="H279" s="40"/>
      <c r="I279" s="40"/>
      <c r="J279" s="40"/>
      <c r="K279" s="40"/>
      <c r="L279" s="40"/>
      <c r="M279" s="40"/>
      <c r="N279" s="40"/>
      <c r="O279" s="40"/>
      <c r="P279" s="40"/>
      <c r="Q279" s="40"/>
      <c r="R279" s="40"/>
      <c r="S279" s="40"/>
      <c r="T279" s="40"/>
      <c r="U279" s="40"/>
      <c r="V279" s="40"/>
      <c r="W279" s="40"/>
      <c r="X279" s="40"/>
      <c r="Y279" s="40"/>
      <c r="Z279" s="40"/>
      <c r="AA279" s="40"/>
      <c r="AB279" s="92">
        <v>1</v>
      </c>
      <c r="AC279" s="46"/>
      <c r="AD279" s="46"/>
      <c r="AE279" s="46"/>
      <c r="AF279" s="26">
        <f>ROUND((AD279+AE279+AC279)*$AF$4,2)</f>
        <v>0</v>
      </c>
      <c r="AG279" s="26">
        <f>ROUND((AD279+AE279+AF279+AC279)*AG$4,2)</f>
        <v>0</v>
      </c>
      <c r="AH279" s="26">
        <f>ROUND((AD279+AE279+AF279+AG279+AC279)*AH$4,2)</f>
        <v>0</v>
      </c>
      <c r="AI279" s="26">
        <f t="shared" si="150"/>
        <v>0</v>
      </c>
      <c r="AJ279" s="26">
        <f t="shared" si="151"/>
        <v>0</v>
      </c>
      <c r="AK279" s="26">
        <f t="shared" si="152"/>
        <v>0</v>
      </c>
      <c r="AL279" s="26">
        <f t="shared" si="153"/>
        <v>0</v>
      </c>
      <c r="AM279" s="34" t="s">
        <v>545</v>
      </c>
      <c r="AN279" s="9"/>
      <c r="AP279" s="61"/>
      <c r="AQ279" s="60"/>
      <c r="AR279" s="60"/>
      <c r="AS279" s="60"/>
    </row>
    <row r="280" s="1" customFormat="1" ht="48" customHeight="1" outlineLevel="2" spans="1:45">
      <c r="A280" s="72">
        <v>8</v>
      </c>
      <c r="B280" s="70" t="s">
        <v>583</v>
      </c>
      <c r="C280" s="105" t="s">
        <v>584</v>
      </c>
      <c r="D280" s="34" t="s">
        <v>544</v>
      </c>
      <c r="E280" s="71"/>
      <c r="F280" s="71"/>
      <c r="G280" s="72" t="s">
        <v>146</v>
      </c>
      <c r="H280" s="40"/>
      <c r="I280" s="40"/>
      <c r="J280" s="40"/>
      <c r="K280" s="40"/>
      <c r="L280" s="40"/>
      <c r="M280" s="40"/>
      <c r="N280" s="40"/>
      <c r="O280" s="40"/>
      <c r="P280" s="40"/>
      <c r="Q280" s="40"/>
      <c r="R280" s="40"/>
      <c r="S280" s="40"/>
      <c r="T280" s="40"/>
      <c r="U280" s="40"/>
      <c r="V280" s="40"/>
      <c r="W280" s="40"/>
      <c r="X280" s="40"/>
      <c r="Y280" s="40"/>
      <c r="Z280" s="40"/>
      <c r="AA280" s="40"/>
      <c r="AB280" s="92">
        <v>1</v>
      </c>
      <c r="AC280" s="46"/>
      <c r="AD280" s="46"/>
      <c r="AE280" s="46"/>
      <c r="AF280" s="26">
        <f>ROUND((AD280+AE280+AC280)*$AF$4,2)</f>
        <v>0</v>
      </c>
      <c r="AG280" s="26">
        <f>ROUND((AD280+AE280+AF280+AC280)*AG$4,2)</f>
        <v>0</v>
      </c>
      <c r="AH280" s="26">
        <f>ROUND((AD280+AE280+AF280+AG280+AC280)*AH$4,2)</f>
        <v>0</v>
      </c>
      <c r="AI280" s="26">
        <f t="shared" si="150"/>
        <v>0</v>
      </c>
      <c r="AJ280" s="26">
        <f t="shared" si="151"/>
        <v>0</v>
      </c>
      <c r="AK280" s="26">
        <f t="shared" si="152"/>
        <v>0</v>
      </c>
      <c r="AL280" s="26">
        <f t="shared" si="153"/>
        <v>0</v>
      </c>
      <c r="AM280" s="34" t="s">
        <v>545</v>
      </c>
      <c r="AN280" s="9"/>
      <c r="AP280" s="61"/>
      <c r="AQ280" s="60"/>
      <c r="AR280" s="60"/>
      <c r="AS280" s="60"/>
    </row>
    <row r="281" s="1" customFormat="1" ht="48" customHeight="1" outlineLevel="2" spans="1:45">
      <c r="A281" s="72">
        <v>9</v>
      </c>
      <c r="B281" s="70" t="s">
        <v>585</v>
      </c>
      <c r="C281" s="105" t="s">
        <v>586</v>
      </c>
      <c r="D281" s="34" t="s">
        <v>544</v>
      </c>
      <c r="E281" s="71"/>
      <c r="F281" s="71"/>
      <c r="G281" s="72" t="s">
        <v>146</v>
      </c>
      <c r="H281" s="40"/>
      <c r="I281" s="40"/>
      <c r="J281" s="40"/>
      <c r="K281" s="40"/>
      <c r="L281" s="40"/>
      <c r="M281" s="40"/>
      <c r="N281" s="40"/>
      <c r="O281" s="40"/>
      <c r="P281" s="40"/>
      <c r="Q281" s="40"/>
      <c r="R281" s="40"/>
      <c r="S281" s="40"/>
      <c r="T281" s="40"/>
      <c r="U281" s="40"/>
      <c r="V281" s="40"/>
      <c r="W281" s="40"/>
      <c r="X281" s="40"/>
      <c r="Y281" s="40"/>
      <c r="Z281" s="40"/>
      <c r="AA281" s="40"/>
      <c r="AB281" s="92">
        <v>1</v>
      </c>
      <c r="AC281" s="46"/>
      <c r="AD281" s="46"/>
      <c r="AE281" s="46"/>
      <c r="AF281" s="26">
        <f>ROUND((AD281+AE281+AC281)*$AF$4,2)</f>
        <v>0</v>
      </c>
      <c r="AG281" s="26">
        <f>ROUND((AD281+AE281+AF281+AC281)*AG$4,2)</f>
        <v>0</v>
      </c>
      <c r="AH281" s="26">
        <f>ROUND((AD281+AE281+AF281+AG281+AC281)*AH$4,2)</f>
        <v>0</v>
      </c>
      <c r="AI281" s="26">
        <f t="shared" si="150"/>
        <v>0</v>
      </c>
      <c r="AJ281" s="26">
        <f t="shared" si="151"/>
        <v>0</v>
      </c>
      <c r="AK281" s="26">
        <f t="shared" si="152"/>
        <v>0</v>
      </c>
      <c r="AL281" s="26">
        <f t="shared" si="153"/>
        <v>0</v>
      </c>
      <c r="AM281" s="34" t="s">
        <v>545</v>
      </c>
      <c r="AN281" s="9"/>
      <c r="AP281" s="61"/>
      <c r="AQ281" s="60"/>
      <c r="AR281" s="60"/>
      <c r="AS281" s="60"/>
    </row>
    <row r="282" s="1" customFormat="1" ht="48" customHeight="1" outlineLevel="2" spans="1:45">
      <c r="A282" s="72">
        <v>10</v>
      </c>
      <c r="B282" s="70" t="s">
        <v>564</v>
      </c>
      <c r="C282" s="105" t="s">
        <v>587</v>
      </c>
      <c r="D282" s="34" t="s">
        <v>544</v>
      </c>
      <c r="E282" s="71"/>
      <c r="F282" s="71"/>
      <c r="G282" s="72" t="s">
        <v>146</v>
      </c>
      <c r="H282" s="40"/>
      <c r="I282" s="40"/>
      <c r="J282" s="40"/>
      <c r="K282" s="40"/>
      <c r="L282" s="40"/>
      <c r="M282" s="40"/>
      <c r="N282" s="40"/>
      <c r="O282" s="40"/>
      <c r="P282" s="40"/>
      <c r="Q282" s="40"/>
      <c r="R282" s="40"/>
      <c r="S282" s="40"/>
      <c r="T282" s="40"/>
      <c r="U282" s="40"/>
      <c r="V282" s="40"/>
      <c r="W282" s="40"/>
      <c r="X282" s="40"/>
      <c r="Y282" s="40"/>
      <c r="Z282" s="40"/>
      <c r="AA282" s="40"/>
      <c r="AB282" s="92">
        <v>1</v>
      </c>
      <c r="AC282" s="46"/>
      <c r="AD282" s="46"/>
      <c r="AE282" s="46"/>
      <c r="AF282" s="26">
        <f>ROUND((AD282+AE282+AC282)*$AF$4,2)</f>
        <v>0</v>
      </c>
      <c r="AG282" s="26">
        <f>ROUND((AD282+AE282+AF282+AC282)*AG$4,2)</f>
        <v>0</v>
      </c>
      <c r="AH282" s="26">
        <f>ROUND((AD282+AE282+AF282+AG282+AC282)*AH$4,2)</f>
        <v>0</v>
      </c>
      <c r="AI282" s="26">
        <f t="shared" si="150"/>
        <v>0</v>
      </c>
      <c r="AJ282" s="26">
        <f t="shared" si="151"/>
        <v>0</v>
      </c>
      <c r="AK282" s="26">
        <f t="shared" si="152"/>
        <v>0</v>
      </c>
      <c r="AL282" s="26">
        <f t="shared" si="153"/>
        <v>0</v>
      </c>
      <c r="AM282" s="34" t="s">
        <v>545</v>
      </c>
      <c r="AN282" s="9"/>
      <c r="AP282" s="61"/>
      <c r="AQ282" s="60"/>
      <c r="AR282" s="60"/>
      <c r="AS282" s="60"/>
    </row>
    <row r="283" s="1" customFormat="1" ht="48" outlineLevel="2" spans="1:45">
      <c r="A283" s="72">
        <v>11</v>
      </c>
      <c r="B283" s="39" t="s">
        <v>239</v>
      </c>
      <c r="C283" s="39" t="s">
        <v>588</v>
      </c>
      <c r="D283" s="34" t="s">
        <v>544</v>
      </c>
      <c r="E283" s="71"/>
      <c r="F283" s="71"/>
      <c r="G283" s="72" t="s">
        <v>146</v>
      </c>
      <c r="H283" s="40"/>
      <c r="I283" s="40"/>
      <c r="J283" s="40"/>
      <c r="K283" s="40"/>
      <c r="L283" s="40"/>
      <c r="M283" s="40"/>
      <c r="N283" s="40"/>
      <c r="O283" s="40"/>
      <c r="P283" s="40"/>
      <c r="Q283" s="40"/>
      <c r="R283" s="40"/>
      <c r="S283" s="40"/>
      <c r="T283" s="40"/>
      <c r="U283" s="40"/>
      <c r="V283" s="40"/>
      <c r="W283" s="40"/>
      <c r="X283" s="40"/>
      <c r="Y283" s="40"/>
      <c r="Z283" s="40"/>
      <c r="AA283" s="40"/>
      <c r="AB283" s="92">
        <v>1</v>
      </c>
      <c r="AC283" s="46"/>
      <c r="AD283" s="46"/>
      <c r="AE283" s="46"/>
      <c r="AF283" s="26">
        <f>ROUND((AD283+AE283+AC283)*$AF$4,2)</f>
        <v>0</v>
      </c>
      <c r="AG283" s="26">
        <f>ROUND((AD283+AE283+AF283+AC283)*AG$4,2)</f>
        <v>0</v>
      </c>
      <c r="AH283" s="26">
        <f>ROUND((AD283+AE283+AF283+AG283+AC283)*AH$4,2)</f>
        <v>0</v>
      </c>
      <c r="AI283" s="26">
        <f t="shared" si="150"/>
        <v>0</v>
      </c>
      <c r="AJ283" s="26">
        <f t="shared" si="151"/>
        <v>0</v>
      </c>
      <c r="AK283" s="26">
        <f t="shared" si="152"/>
        <v>0</v>
      </c>
      <c r="AL283" s="26">
        <f t="shared" si="153"/>
        <v>0</v>
      </c>
      <c r="AM283" s="34"/>
      <c r="AN283" s="9"/>
      <c r="AP283" s="61"/>
      <c r="AQ283" s="60"/>
      <c r="AR283" s="60"/>
      <c r="AS283" s="60"/>
    </row>
    <row r="284" s="1" customFormat="1" ht="30" customHeight="1" outlineLevel="1" spans="1:45">
      <c r="A284" s="13" t="s">
        <v>589</v>
      </c>
      <c r="B284" s="14" t="s">
        <v>177</v>
      </c>
      <c r="C284" s="21" t="s">
        <v>590</v>
      </c>
      <c r="D284" s="36"/>
      <c r="E284" s="36"/>
      <c r="F284" s="36"/>
      <c r="G284" s="13" t="s">
        <v>179</v>
      </c>
      <c r="H284" s="40"/>
      <c r="I284" s="40"/>
      <c r="J284" s="40"/>
      <c r="K284" s="40"/>
      <c r="L284" s="40"/>
      <c r="M284" s="40"/>
      <c r="N284" s="40"/>
      <c r="O284" s="40"/>
      <c r="P284" s="40"/>
      <c r="Q284" s="40"/>
      <c r="R284" s="40"/>
      <c r="S284" s="40"/>
      <c r="T284" s="40"/>
      <c r="U284" s="40"/>
      <c r="V284" s="40"/>
      <c r="W284" s="40"/>
      <c r="X284" s="40"/>
      <c r="Y284" s="40"/>
      <c r="Z284" s="40"/>
      <c r="AA284" s="40"/>
      <c r="AB284" s="16"/>
      <c r="AC284" s="16"/>
      <c r="AD284" s="16"/>
      <c r="AE284" s="16"/>
      <c r="AF284" s="16"/>
      <c r="AG284" s="16"/>
      <c r="AH284" s="16"/>
      <c r="AI284" s="16"/>
      <c r="AJ284" s="16"/>
      <c r="AK284" s="16">
        <f>AK272</f>
        <v>0</v>
      </c>
      <c r="AL284" s="16">
        <f>AL272</f>
        <v>0</v>
      </c>
      <c r="AM284" s="69"/>
      <c r="AN284" s="50"/>
      <c r="AO284" s="60"/>
      <c r="AP284" s="61"/>
      <c r="AQ284" s="60"/>
      <c r="AR284" s="60"/>
      <c r="AS284" s="60"/>
    </row>
    <row r="285" s="1" customFormat="1" ht="37" customHeight="1" spans="1:45">
      <c r="A285" s="17" t="s">
        <v>591</v>
      </c>
      <c r="B285" s="17"/>
      <c r="C285" s="17"/>
      <c r="D285" s="18"/>
      <c r="E285" s="81"/>
      <c r="F285" s="81"/>
      <c r="G285" s="81"/>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5">
        <f>AK307</f>
        <v>0</v>
      </c>
      <c r="AL285" s="85">
        <f>AL307</f>
        <v>0</v>
      </c>
      <c r="AM285" s="81"/>
      <c r="AN285" s="50"/>
      <c r="AO285" s="60"/>
      <c r="AP285" s="61"/>
      <c r="AQ285" s="60"/>
      <c r="AR285" s="60"/>
      <c r="AS285" s="60"/>
    </row>
    <row r="286" s="1" customFormat="1" ht="30" customHeight="1" outlineLevel="1" spans="1:45">
      <c r="A286" s="21" t="s">
        <v>592</v>
      </c>
      <c r="B286" s="14"/>
      <c r="C286" s="13"/>
      <c r="D286" s="14"/>
      <c r="E286" s="13"/>
      <c r="F286" s="13"/>
      <c r="G286" s="13"/>
      <c r="H286" s="40"/>
      <c r="I286" s="40"/>
      <c r="J286" s="40"/>
      <c r="K286" s="40"/>
      <c r="L286" s="40"/>
      <c r="M286" s="40"/>
      <c r="N286" s="40"/>
      <c r="O286" s="40"/>
      <c r="P286" s="40"/>
      <c r="Q286" s="40"/>
      <c r="R286" s="40"/>
      <c r="S286" s="40"/>
      <c r="T286" s="40"/>
      <c r="U286" s="40"/>
      <c r="V286" s="40"/>
      <c r="W286" s="40"/>
      <c r="X286" s="40"/>
      <c r="Y286" s="40"/>
      <c r="Z286" s="40"/>
      <c r="AA286" s="40"/>
      <c r="AB286" s="16"/>
      <c r="AC286" s="16"/>
      <c r="AD286" s="16"/>
      <c r="AE286" s="16"/>
      <c r="AF286" s="16"/>
      <c r="AG286" s="16"/>
      <c r="AH286" s="16"/>
      <c r="AI286" s="16"/>
      <c r="AJ286" s="16"/>
      <c r="AK286" s="16">
        <f>SUM(AK287:AK289)</f>
        <v>0</v>
      </c>
      <c r="AL286" s="16">
        <f>SUM(AL287:AL289)</f>
        <v>0</v>
      </c>
      <c r="AM286" s="14"/>
      <c r="AN286" s="9"/>
      <c r="AO286" s="9"/>
      <c r="AP286" s="9"/>
      <c r="AQ286" s="50"/>
      <c r="AR286" s="50"/>
      <c r="AS286" s="50"/>
    </row>
    <row r="287" s="1" customFormat="1" ht="48" customHeight="1" outlineLevel="2" spans="1:45">
      <c r="A287" s="25">
        <v>1</v>
      </c>
      <c r="B287" s="23" t="s">
        <v>593</v>
      </c>
      <c r="C287" s="23" t="s">
        <v>594</v>
      </c>
      <c r="D287" s="34" t="s">
        <v>595</v>
      </c>
      <c r="E287" s="27"/>
      <c r="F287" s="27"/>
      <c r="G287" s="25" t="s">
        <v>146</v>
      </c>
      <c r="H287" s="40"/>
      <c r="I287" s="40"/>
      <c r="J287" s="40"/>
      <c r="K287" s="40"/>
      <c r="L287" s="40"/>
      <c r="M287" s="40"/>
      <c r="N287" s="40"/>
      <c r="O287" s="40"/>
      <c r="P287" s="40"/>
      <c r="Q287" s="40"/>
      <c r="R287" s="40"/>
      <c r="S287" s="40"/>
      <c r="T287" s="40"/>
      <c r="U287" s="40"/>
      <c r="V287" s="40"/>
      <c r="W287" s="40"/>
      <c r="X287" s="40"/>
      <c r="Y287" s="40"/>
      <c r="Z287" s="40"/>
      <c r="AA287" s="40"/>
      <c r="AB287" s="26">
        <v>1</v>
      </c>
      <c r="AC287" s="46"/>
      <c r="AD287" s="46"/>
      <c r="AE287" s="46"/>
      <c r="AF287" s="26">
        <f>ROUND((AD287+AE287+AC287)*$AF$4,2)</f>
        <v>0</v>
      </c>
      <c r="AG287" s="26">
        <f>ROUND((AD287+AE287+AF287+AC287)*AG$4,2)</f>
        <v>0</v>
      </c>
      <c r="AH287" s="26">
        <f>ROUND((AD287+AE287+AF287+AG287+AC287)*AH$4,2)</f>
        <v>0</v>
      </c>
      <c r="AI287" s="26">
        <f t="shared" ref="AI287:AI289" si="154">ROUND((AD287+AE287+AF287+AG287+AC287),2)</f>
        <v>0</v>
      </c>
      <c r="AJ287" s="26">
        <f t="shared" ref="AJ287:AJ289" si="155">ROUND((AD287+AE287+AF287+AG287+AH287+AC287),2)</f>
        <v>0</v>
      </c>
      <c r="AK287" s="26">
        <f t="shared" ref="AK287:AK289" si="156">ROUND((AI287*AB287),2)</f>
        <v>0</v>
      </c>
      <c r="AL287" s="26">
        <f t="shared" ref="AL287:AL289" si="157">ROUND((AJ287*AB287),2)</f>
        <v>0</v>
      </c>
      <c r="AM287" s="24"/>
      <c r="AN287" s="86"/>
      <c r="AO287" s="86"/>
      <c r="AP287" s="9"/>
      <c r="AQ287" s="50"/>
      <c r="AR287" s="50"/>
      <c r="AS287" s="50"/>
    </row>
    <row r="288" s="1" customFormat="1" ht="48" customHeight="1" outlineLevel="2" spans="1:45">
      <c r="A288" s="25">
        <v>2</v>
      </c>
      <c r="B288" s="23" t="s">
        <v>596</v>
      </c>
      <c r="C288" s="23" t="s">
        <v>597</v>
      </c>
      <c r="D288" s="34" t="s">
        <v>595</v>
      </c>
      <c r="E288" s="27"/>
      <c r="F288" s="27"/>
      <c r="G288" s="25" t="s">
        <v>146</v>
      </c>
      <c r="H288" s="40"/>
      <c r="I288" s="40"/>
      <c r="J288" s="40"/>
      <c r="K288" s="40"/>
      <c r="L288" s="40"/>
      <c r="M288" s="40"/>
      <c r="N288" s="40"/>
      <c r="O288" s="40"/>
      <c r="P288" s="40"/>
      <c r="Q288" s="40"/>
      <c r="R288" s="40"/>
      <c r="S288" s="40"/>
      <c r="T288" s="40"/>
      <c r="U288" s="40"/>
      <c r="V288" s="40"/>
      <c r="W288" s="40"/>
      <c r="X288" s="40"/>
      <c r="Y288" s="40"/>
      <c r="Z288" s="40"/>
      <c r="AA288" s="40"/>
      <c r="AB288" s="26">
        <v>1</v>
      </c>
      <c r="AC288" s="46"/>
      <c r="AD288" s="46"/>
      <c r="AE288" s="46"/>
      <c r="AF288" s="26">
        <f>ROUND((AD288+AE288+AC288)*$AF$4,2)</f>
        <v>0</v>
      </c>
      <c r="AG288" s="26">
        <f>ROUND((AD288+AE288+AF288+AC288)*AG$4,2)</f>
        <v>0</v>
      </c>
      <c r="AH288" s="26">
        <f>ROUND((AD288+AE288+AF288+AG288+AC288)*AH$4,2)</f>
        <v>0</v>
      </c>
      <c r="AI288" s="26">
        <f t="shared" si="154"/>
        <v>0</v>
      </c>
      <c r="AJ288" s="26">
        <f t="shared" si="155"/>
        <v>0</v>
      </c>
      <c r="AK288" s="26">
        <f t="shared" si="156"/>
        <v>0</v>
      </c>
      <c r="AL288" s="26">
        <f t="shared" si="157"/>
        <v>0</v>
      </c>
      <c r="AM288" s="24"/>
      <c r="AN288" s="86"/>
      <c r="AO288" s="86"/>
      <c r="AP288" s="9"/>
      <c r="AQ288" s="50"/>
      <c r="AR288" s="50"/>
      <c r="AS288" s="50"/>
    </row>
    <row r="289" s="1" customFormat="1" ht="48" customHeight="1" outlineLevel="2" spans="1:45">
      <c r="A289" s="25">
        <v>3</v>
      </c>
      <c r="B289" s="23" t="s">
        <v>598</v>
      </c>
      <c r="C289" s="107" t="s">
        <v>599</v>
      </c>
      <c r="D289" s="34" t="s">
        <v>595</v>
      </c>
      <c r="E289" s="27"/>
      <c r="F289" s="27"/>
      <c r="G289" s="25" t="s">
        <v>146</v>
      </c>
      <c r="H289" s="40"/>
      <c r="I289" s="40"/>
      <c r="J289" s="40"/>
      <c r="K289" s="40"/>
      <c r="L289" s="40"/>
      <c r="M289" s="40"/>
      <c r="N289" s="40"/>
      <c r="O289" s="40"/>
      <c r="P289" s="40"/>
      <c r="Q289" s="40"/>
      <c r="R289" s="40"/>
      <c r="S289" s="40"/>
      <c r="T289" s="40"/>
      <c r="U289" s="40"/>
      <c r="V289" s="40"/>
      <c r="W289" s="40"/>
      <c r="X289" s="40"/>
      <c r="Y289" s="40"/>
      <c r="Z289" s="40"/>
      <c r="AA289" s="40"/>
      <c r="AB289" s="26">
        <v>1</v>
      </c>
      <c r="AC289" s="46"/>
      <c r="AD289" s="46"/>
      <c r="AE289" s="46"/>
      <c r="AF289" s="26">
        <f>ROUND((AD289+AE289+AC289)*$AF$4,2)</f>
        <v>0</v>
      </c>
      <c r="AG289" s="26">
        <f>ROUND((AD289+AE289+AF289+AC289)*AG$4,2)</f>
        <v>0</v>
      </c>
      <c r="AH289" s="26">
        <f>ROUND((AD289+AE289+AF289+AG289+AC289)*AH$4,2)</f>
        <v>0</v>
      </c>
      <c r="AI289" s="26">
        <f t="shared" si="154"/>
        <v>0</v>
      </c>
      <c r="AJ289" s="26">
        <f t="shared" si="155"/>
        <v>0</v>
      </c>
      <c r="AK289" s="26">
        <f t="shared" si="156"/>
        <v>0</v>
      </c>
      <c r="AL289" s="26">
        <f t="shared" si="157"/>
        <v>0</v>
      </c>
      <c r="AM289" s="24"/>
      <c r="AN289" s="86"/>
      <c r="AO289" s="86"/>
      <c r="AQ289" s="50"/>
      <c r="AR289" s="50"/>
      <c r="AS289" s="50"/>
    </row>
    <row r="290" s="1" customFormat="1" ht="30" customHeight="1" outlineLevel="1" spans="1:45">
      <c r="A290" s="21" t="s">
        <v>600</v>
      </c>
      <c r="B290" s="14"/>
      <c r="C290" s="13"/>
      <c r="D290" s="14"/>
      <c r="E290" s="13"/>
      <c r="F290" s="13"/>
      <c r="G290" s="13"/>
      <c r="H290" s="40"/>
      <c r="I290" s="40"/>
      <c r="J290" s="40"/>
      <c r="K290" s="40"/>
      <c r="L290" s="40"/>
      <c r="M290" s="40"/>
      <c r="N290" s="40"/>
      <c r="O290" s="40"/>
      <c r="P290" s="40"/>
      <c r="Q290" s="40"/>
      <c r="R290" s="40"/>
      <c r="S290" s="40"/>
      <c r="T290" s="40"/>
      <c r="U290" s="40"/>
      <c r="V290" s="40"/>
      <c r="W290" s="40"/>
      <c r="X290" s="40"/>
      <c r="Y290" s="40"/>
      <c r="Z290" s="40"/>
      <c r="AA290" s="40"/>
      <c r="AB290" s="16"/>
      <c r="AC290" s="16"/>
      <c r="AD290" s="16"/>
      <c r="AE290" s="16"/>
      <c r="AF290" s="16"/>
      <c r="AG290" s="16"/>
      <c r="AH290" s="16"/>
      <c r="AI290" s="16"/>
      <c r="AJ290" s="16"/>
      <c r="AK290" s="16">
        <f>SUM(AK291:AK292)</f>
        <v>0</v>
      </c>
      <c r="AL290" s="16">
        <f>SUM(AL291:AL292)</f>
        <v>0</v>
      </c>
      <c r="AM290" s="14"/>
      <c r="AN290" s="9"/>
      <c r="AO290" s="9"/>
      <c r="AP290" s="9"/>
      <c r="AQ290" s="50"/>
      <c r="AR290" s="50"/>
      <c r="AS290" s="50"/>
    </row>
    <row r="291" s="1" customFormat="1" ht="228" outlineLevel="2" spans="1:45">
      <c r="A291" s="25">
        <v>1</v>
      </c>
      <c r="B291" s="23" t="s">
        <v>601</v>
      </c>
      <c r="C291" s="23" t="s">
        <v>602</v>
      </c>
      <c r="D291" s="34" t="s">
        <v>544</v>
      </c>
      <c r="E291" s="27"/>
      <c r="F291" s="27"/>
      <c r="G291" s="25" t="s">
        <v>146</v>
      </c>
      <c r="H291" s="40"/>
      <c r="I291" s="40"/>
      <c r="J291" s="40"/>
      <c r="K291" s="40"/>
      <c r="L291" s="40"/>
      <c r="M291" s="40"/>
      <c r="N291" s="40"/>
      <c r="O291" s="40"/>
      <c r="P291" s="40"/>
      <c r="Q291" s="40"/>
      <c r="R291" s="40"/>
      <c r="S291" s="40"/>
      <c r="T291" s="40"/>
      <c r="U291" s="40"/>
      <c r="V291" s="40"/>
      <c r="W291" s="40"/>
      <c r="X291" s="40"/>
      <c r="Y291" s="40"/>
      <c r="Z291" s="40"/>
      <c r="AA291" s="40"/>
      <c r="AB291" s="26">
        <v>1</v>
      </c>
      <c r="AC291" s="46"/>
      <c r="AD291" s="46"/>
      <c r="AE291" s="46"/>
      <c r="AF291" s="26">
        <f>ROUND((AD291+AE291+AC291)*$AF$4,2)</f>
        <v>0</v>
      </c>
      <c r="AG291" s="26">
        <f>ROUND((AD291+AE291+AF291+AC291)*AG$4,2)</f>
        <v>0</v>
      </c>
      <c r="AH291" s="26">
        <f>ROUND((AD291+AE291+AF291+AG291+AC291)*AH$4,2)</f>
        <v>0</v>
      </c>
      <c r="AI291" s="26">
        <f t="shared" ref="AI291:AI303" si="158">ROUND((AD291+AE291+AF291+AG291+AC291),2)</f>
        <v>0</v>
      </c>
      <c r="AJ291" s="26">
        <f t="shared" ref="AJ291:AJ303" si="159">ROUND((AD291+AE291+AF291+AG291+AH291+AC291),2)</f>
        <v>0</v>
      </c>
      <c r="AK291" s="26">
        <f t="shared" ref="AK291:AK303" si="160">ROUND((AI291*AB291),2)</f>
        <v>0</v>
      </c>
      <c r="AL291" s="26">
        <f t="shared" ref="AL291:AL303" si="161">ROUND((AJ291*AB291),2)</f>
        <v>0</v>
      </c>
      <c r="AM291" s="24"/>
      <c r="AN291" s="86"/>
      <c r="AO291" s="86"/>
      <c r="AP291" s="9"/>
      <c r="AQ291" s="50"/>
      <c r="AR291" s="50"/>
      <c r="AS291" s="50"/>
    </row>
    <row r="292" s="1" customFormat="1" ht="48" customHeight="1" outlineLevel="2" spans="1:45">
      <c r="A292" s="25">
        <v>2</v>
      </c>
      <c r="B292" s="23" t="s">
        <v>603</v>
      </c>
      <c r="C292" s="23" t="s">
        <v>604</v>
      </c>
      <c r="D292" s="34" t="s">
        <v>544</v>
      </c>
      <c r="E292" s="27"/>
      <c r="F292" s="27"/>
      <c r="G292" s="25" t="s">
        <v>146</v>
      </c>
      <c r="H292" s="40"/>
      <c r="I292" s="40"/>
      <c r="J292" s="40"/>
      <c r="K292" s="40"/>
      <c r="L292" s="40"/>
      <c r="M292" s="40"/>
      <c r="N292" s="40"/>
      <c r="O292" s="40"/>
      <c r="P292" s="40"/>
      <c r="Q292" s="40"/>
      <c r="R292" s="40"/>
      <c r="S292" s="40"/>
      <c r="T292" s="40"/>
      <c r="U292" s="40"/>
      <c r="V292" s="40"/>
      <c r="W292" s="40"/>
      <c r="X292" s="40"/>
      <c r="Y292" s="40"/>
      <c r="Z292" s="40"/>
      <c r="AA292" s="40"/>
      <c r="AB292" s="26">
        <v>1</v>
      </c>
      <c r="AC292" s="46"/>
      <c r="AD292" s="46"/>
      <c r="AE292" s="46"/>
      <c r="AF292" s="26">
        <f>ROUND((AD292+AE292+AC292)*$AF$4,2)</f>
        <v>0</v>
      </c>
      <c r="AG292" s="26">
        <f>ROUND((AD292+AE292+AF292+AC292)*AG$4,2)</f>
        <v>0</v>
      </c>
      <c r="AH292" s="26">
        <f>ROUND((AD292+AE292+AF292+AG292+AC292)*AH$4,2)</f>
        <v>0</v>
      </c>
      <c r="AI292" s="26">
        <f t="shared" si="158"/>
        <v>0</v>
      </c>
      <c r="AJ292" s="26">
        <f t="shared" si="159"/>
        <v>0</v>
      </c>
      <c r="AK292" s="26">
        <f t="shared" si="160"/>
        <v>0</v>
      </c>
      <c r="AL292" s="26">
        <f t="shared" si="161"/>
        <v>0</v>
      </c>
      <c r="AM292" s="24"/>
      <c r="AN292" s="86"/>
      <c r="AO292" s="86"/>
      <c r="AP292" s="9"/>
      <c r="AQ292" s="50"/>
      <c r="AR292" s="50"/>
      <c r="AS292" s="50"/>
    </row>
    <row r="293" s="1" customFormat="1" ht="30" customHeight="1" outlineLevel="1" spans="1:45">
      <c r="A293" s="108" t="s">
        <v>605</v>
      </c>
      <c r="B293" s="109"/>
      <c r="C293" s="110"/>
      <c r="D293" s="95"/>
      <c r="E293" s="25"/>
      <c r="F293" s="25"/>
      <c r="G293" s="25"/>
      <c r="H293" s="40"/>
      <c r="I293" s="40"/>
      <c r="J293" s="40"/>
      <c r="K293" s="40"/>
      <c r="L293" s="40"/>
      <c r="M293" s="40"/>
      <c r="N293" s="40"/>
      <c r="O293" s="40"/>
      <c r="P293" s="40"/>
      <c r="Q293" s="40"/>
      <c r="R293" s="40"/>
      <c r="S293" s="40"/>
      <c r="T293" s="40"/>
      <c r="U293" s="40"/>
      <c r="V293" s="40"/>
      <c r="W293" s="40"/>
      <c r="X293" s="40"/>
      <c r="Y293" s="40"/>
      <c r="Z293" s="40"/>
      <c r="AA293" s="40"/>
      <c r="AB293" s="26"/>
      <c r="AC293" s="26"/>
      <c r="AD293" s="26"/>
      <c r="AE293" s="26"/>
      <c r="AF293" s="26"/>
      <c r="AG293" s="26"/>
      <c r="AH293" s="26"/>
      <c r="AI293" s="26"/>
      <c r="AJ293" s="26"/>
      <c r="AK293" s="16">
        <f>SUM(AK294:AK303)</f>
        <v>0</v>
      </c>
      <c r="AL293" s="16">
        <f>SUM(AL294:AL303)</f>
        <v>0</v>
      </c>
      <c r="AM293" s="24"/>
      <c r="AN293" s="9"/>
      <c r="AO293" s="9"/>
      <c r="AP293" s="9"/>
      <c r="AQ293" s="50"/>
      <c r="AR293" s="50"/>
      <c r="AS293" s="50"/>
    </row>
    <row r="294" s="1" customFormat="1" ht="168" outlineLevel="2" spans="1:45">
      <c r="A294" s="111">
        <v>1</v>
      </c>
      <c r="B294" s="112" t="s">
        <v>76</v>
      </c>
      <c r="C294" s="107" t="s">
        <v>606</v>
      </c>
      <c r="D294" s="34" t="s">
        <v>544</v>
      </c>
      <c r="E294" s="27"/>
      <c r="F294" s="27"/>
      <c r="G294" s="25" t="s">
        <v>146</v>
      </c>
      <c r="H294" s="40"/>
      <c r="I294" s="40"/>
      <c r="J294" s="40"/>
      <c r="K294" s="40"/>
      <c r="L294" s="40"/>
      <c r="M294" s="40"/>
      <c r="N294" s="40"/>
      <c r="O294" s="40"/>
      <c r="P294" s="40"/>
      <c r="Q294" s="40"/>
      <c r="R294" s="40"/>
      <c r="S294" s="40"/>
      <c r="T294" s="40"/>
      <c r="U294" s="40"/>
      <c r="V294" s="40"/>
      <c r="W294" s="40"/>
      <c r="X294" s="40"/>
      <c r="Y294" s="40"/>
      <c r="Z294" s="40"/>
      <c r="AA294" s="40"/>
      <c r="AB294" s="26">
        <v>1</v>
      </c>
      <c r="AC294" s="46"/>
      <c r="AD294" s="46"/>
      <c r="AE294" s="46"/>
      <c r="AF294" s="26">
        <f>ROUND((AD294+AE294+AC294)*$AF$4,2)</f>
        <v>0</v>
      </c>
      <c r="AG294" s="26">
        <f>ROUND((AD294+AE294+AF294+AC294)*AG$4,2)</f>
        <v>0</v>
      </c>
      <c r="AH294" s="26">
        <f>ROUND((AD294+AE294+AF294+AG294+AC294)*AH$4,2)</f>
        <v>0</v>
      </c>
      <c r="AI294" s="26">
        <f t="shared" si="158"/>
        <v>0</v>
      </c>
      <c r="AJ294" s="26">
        <f t="shared" si="159"/>
        <v>0</v>
      </c>
      <c r="AK294" s="26">
        <f t="shared" si="160"/>
        <v>0</v>
      </c>
      <c r="AL294" s="26">
        <f t="shared" si="161"/>
        <v>0</v>
      </c>
      <c r="AM294" s="24"/>
      <c r="AN294" s="86"/>
      <c r="AO294" s="9"/>
      <c r="AP294" s="9"/>
      <c r="AQ294" s="50"/>
      <c r="AR294" s="50"/>
      <c r="AS294" s="50"/>
    </row>
    <row r="295" s="1" customFormat="1" ht="158" customHeight="1" outlineLevel="2" spans="1:45">
      <c r="A295" s="111">
        <v>2</v>
      </c>
      <c r="B295" s="112" t="s">
        <v>77</v>
      </c>
      <c r="C295" s="107" t="s">
        <v>607</v>
      </c>
      <c r="D295" s="34" t="s">
        <v>544</v>
      </c>
      <c r="E295" s="27"/>
      <c r="F295" s="27"/>
      <c r="G295" s="25" t="s">
        <v>146</v>
      </c>
      <c r="H295" s="40"/>
      <c r="I295" s="40"/>
      <c r="J295" s="40"/>
      <c r="K295" s="40"/>
      <c r="L295" s="40"/>
      <c r="M295" s="40"/>
      <c r="N295" s="40"/>
      <c r="O295" s="40"/>
      <c r="P295" s="40"/>
      <c r="Q295" s="40"/>
      <c r="R295" s="40"/>
      <c r="S295" s="40"/>
      <c r="T295" s="40"/>
      <c r="U295" s="40"/>
      <c r="V295" s="40"/>
      <c r="W295" s="40"/>
      <c r="X295" s="40"/>
      <c r="Y295" s="40"/>
      <c r="Z295" s="40"/>
      <c r="AA295" s="40"/>
      <c r="AB295" s="26">
        <v>1</v>
      </c>
      <c r="AC295" s="46"/>
      <c r="AD295" s="46"/>
      <c r="AE295" s="46"/>
      <c r="AF295" s="26">
        <f>ROUND((AD295+AE295+AC295)*$AF$4,2)</f>
        <v>0</v>
      </c>
      <c r="AG295" s="26">
        <f>ROUND((AD295+AE295+AF295+AC295)*AG$4,2)</f>
        <v>0</v>
      </c>
      <c r="AH295" s="26">
        <f>ROUND((AD295+AE295+AF295+AG295+AC295)*AH$4,2)</f>
        <v>0</v>
      </c>
      <c r="AI295" s="26">
        <f t="shared" si="158"/>
        <v>0</v>
      </c>
      <c r="AJ295" s="26">
        <f t="shared" si="159"/>
        <v>0</v>
      </c>
      <c r="AK295" s="26">
        <f t="shared" si="160"/>
        <v>0</v>
      </c>
      <c r="AL295" s="26">
        <f t="shared" si="161"/>
        <v>0</v>
      </c>
      <c r="AM295" s="24"/>
      <c r="AN295" s="86"/>
      <c r="AO295" s="9"/>
      <c r="AP295" s="9"/>
      <c r="AQ295" s="50"/>
      <c r="AR295" s="50"/>
      <c r="AS295" s="50"/>
    </row>
    <row r="296" s="1" customFormat="1" ht="300" outlineLevel="2" spans="1:45">
      <c r="A296" s="111">
        <v>3</v>
      </c>
      <c r="B296" s="112" t="s">
        <v>70</v>
      </c>
      <c r="C296" s="107" t="s">
        <v>608</v>
      </c>
      <c r="D296" s="34" t="s">
        <v>544</v>
      </c>
      <c r="E296" s="27"/>
      <c r="F296" s="27"/>
      <c r="G296" s="25" t="s">
        <v>146</v>
      </c>
      <c r="H296" s="40"/>
      <c r="I296" s="40"/>
      <c r="J296" s="40"/>
      <c r="K296" s="40"/>
      <c r="L296" s="40"/>
      <c r="M296" s="40"/>
      <c r="N296" s="40"/>
      <c r="O296" s="40"/>
      <c r="P296" s="40"/>
      <c r="Q296" s="40"/>
      <c r="R296" s="40"/>
      <c r="S296" s="40"/>
      <c r="T296" s="40"/>
      <c r="U296" s="40"/>
      <c r="V296" s="40"/>
      <c r="W296" s="40"/>
      <c r="X296" s="40"/>
      <c r="Y296" s="40"/>
      <c r="Z296" s="40"/>
      <c r="AA296" s="40"/>
      <c r="AB296" s="26">
        <v>1</v>
      </c>
      <c r="AC296" s="46"/>
      <c r="AD296" s="46"/>
      <c r="AE296" s="46"/>
      <c r="AF296" s="26">
        <f>ROUND((AD296+AE296+AC296)*$AF$4,2)</f>
        <v>0</v>
      </c>
      <c r="AG296" s="26">
        <f>ROUND((AD296+AE296+AF296+AC296)*AG$4,2)</f>
        <v>0</v>
      </c>
      <c r="AH296" s="26">
        <f>ROUND((AD296+AE296+AF296+AG296+AC296)*AH$4,2)</f>
        <v>0</v>
      </c>
      <c r="AI296" s="26">
        <f t="shared" si="158"/>
        <v>0</v>
      </c>
      <c r="AJ296" s="26">
        <f t="shared" si="159"/>
        <v>0</v>
      </c>
      <c r="AK296" s="26">
        <f t="shared" si="160"/>
        <v>0</v>
      </c>
      <c r="AL296" s="26">
        <f t="shared" si="161"/>
        <v>0</v>
      </c>
      <c r="AM296" s="24"/>
      <c r="AN296" s="86"/>
      <c r="AO296" s="9"/>
      <c r="AP296" s="9"/>
      <c r="AQ296" s="50"/>
      <c r="AR296" s="50"/>
      <c r="AS296" s="50"/>
    </row>
    <row r="297" s="1" customFormat="1" ht="252" outlineLevel="2" spans="1:45">
      <c r="A297" s="111">
        <v>4</v>
      </c>
      <c r="B297" s="112" t="s">
        <v>609</v>
      </c>
      <c r="C297" s="107" t="s">
        <v>610</v>
      </c>
      <c r="D297" s="34" t="s">
        <v>544</v>
      </c>
      <c r="E297" s="27"/>
      <c r="F297" s="27"/>
      <c r="G297" s="25" t="s">
        <v>146</v>
      </c>
      <c r="H297" s="40"/>
      <c r="I297" s="40"/>
      <c r="J297" s="40"/>
      <c r="K297" s="40"/>
      <c r="L297" s="40"/>
      <c r="M297" s="40"/>
      <c r="N297" s="40"/>
      <c r="O297" s="40"/>
      <c r="P297" s="40"/>
      <c r="Q297" s="40"/>
      <c r="R297" s="40"/>
      <c r="S297" s="40"/>
      <c r="T297" s="40"/>
      <c r="U297" s="40"/>
      <c r="V297" s="40"/>
      <c r="W297" s="40"/>
      <c r="X297" s="40"/>
      <c r="Y297" s="40"/>
      <c r="Z297" s="40"/>
      <c r="AA297" s="40"/>
      <c r="AB297" s="26">
        <v>1</v>
      </c>
      <c r="AC297" s="46"/>
      <c r="AD297" s="46"/>
      <c r="AE297" s="46"/>
      <c r="AF297" s="26">
        <f>ROUND((AD297+AE297+AC297)*$AF$4,2)</f>
        <v>0</v>
      </c>
      <c r="AG297" s="26">
        <f>ROUND((AD297+AE297+AF297+AC297)*AG$4,2)</f>
        <v>0</v>
      </c>
      <c r="AH297" s="26">
        <f>ROUND((AD297+AE297+AF297+AG297+AC297)*AH$4,2)</f>
        <v>0</v>
      </c>
      <c r="AI297" s="26">
        <f t="shared" si="158"/>
        <v>0</v>
      </c>
      <c r="AJ297" s="26">
        <f t="shared" si="159"/>
        <v>0</v>
      </c>
      <c r="AK297" s="26">
        <f t="shared" si="160"/>
        <v>0</v>
      </c>
      <c r="AL297" s="26">
        <f t="shared" si="161"/>
        <v>0</v>
      </c>
      <c r="AM297" s="24"/>
      <c r="AN297" s="86"/>
      <c r="AO297" s="9"/>
      <c r="AP297" s="9"/>
      <c r="AQ297" s="50"/>
      <c r="AR297" s="50"/>
      <c r="AS297" s="50"/>
    </row>
    <row r="298" s="1" customFormat="1" ht="312" outlineLevel="2" spans="1:45">
      <c r="A298" s="111">
        <v>5</v>
      </c>
      <c r="B298" s="112" t="s">
        <v>73</v>
      </c>
      <c r="C298" s="107" t="s">
        <v>611</v>
      </c>
      <c r="D298" s="34" t="s">
        <v>544</v>
      </c>
      <c r="E298" s="27"/>
      <c r="F298" s="27"/>
      <c r="G298" s="25" t="s">
        <v>146</v>
      </c>
      <c r="H298" s="40"/>
      <c r="I298" s="40"/>
      <c r="J298" s="40"/>
      <c r="K298" s="40"/>
      <c r="L298" s="40"/>
      <c r="M298" s="40"/>
      <c r="N298" s="40"/>
      <c r="O298" s="40"/>
      <c r="P298" s="40"/>
      <c r="Q298" s="40"/>
      <c r="R298" s="40"/>
      <c r="S298" s="40"/>
      <c r="T298" s="40"/>
      <c r="U298" s="40"/>
      <c r="V298" s="40"/>
      <c r="W298" s="40"/>
      <c r="X298" s="40"/>
      <c r="Y298" s="40"/>
      <c r="Z298" s="40"/>
      <c r="AA298" s="40"/>
      <c r="AB298" s="26">
        <v>1</v>
      </c>
      <c r="AC298" s="46"/>
      <c r="AD298" s="46"/>
      <c r="AE298" s="46"/>
      <c r="AF298" s="26">
        <f>ROUND((AD298+AE298+AC298)*$AF$4,2)</f>
        <v>0</v>
      </c>
      <c r="AG298" s="26">
        <f>ROUND((AD298+AE298+AF298+AC298)*AG$4,2)</f>
        <v>0</v>
      </c>
      <c r="AH298" s="26">
        <f>ROUND((AD298+AE298+AF298+AG298+AC298)*AH$4,2)</f>
        <v>0</v>
      </c>
      <c r="AI298" s="26">
        <f t="shared" si="158"/>
        <v>0</v>
      </c>
      <c r="AJ298" s="26">
        <f t="shared" si="159"/>
        <v>0</v>
      </c>
      <c r="AK298" s="26">
        <f t="shared" si="160"/>
        <v>0</v>
      </c>
      <c r="AL298" s="26">
        <f t="shared" si="161"/>
        <v>0</v>
      </c>
      <c r="AM298" s="24"/>
      <c r="AN298" s="86"/>
      <c r="AO298" s="9"/>
      <c r="AP298" s="9"/>
      <c r="AQ298" s="50"/>
      <c r="AR298" s="50"/>
      <c r="AS298" s="50"/>
    </row>
    <row r="299" s="1" customFormat="1" ht="228" outlineLevel="2" spans="1:45">
      <c r="A299" s="111">
        <v>6</v>
      </c>
      <c r="B299" s="112" t="s">
        <v>71</v>
      </c>
      <c r="C299" s="107" t="s">
        <v>612</v>
      </c>
      <c r="D299" s="34" t="s">
        <v>544</v>
      </c>
      <c r="E299" s="27"/>
      <c r="F299" s="27"/>
      <c r="G299" s="25" t="s">
        <v>146</v>
      </c>
      <c r="H299" s="40"/>
      <c r="I299" s="40"/>
      <c r="J299" s="40"/>
      <c r="K299" s="40"/>
      <c r="L299" s="40"/>
      <c r="M299" s="40"/>
      <c r="N299" s="40"/>
      <c r="O299" s="40"/>
      <c r="P299" s="40"/>
      <c r="Q299" s="40"/>
      <c r="R299" s="40"/>
      <c r="S299" s="40"/>
      <c r="T299" s="40"/>
      <c r="U299" s="40"/>
      <c r="V299" s="40"/>
      <c r="W299" s="40"/>
      <c r="X299" s="40"/>
      <c r="Y299" s="40"/>
      <c r="Z299" s="40"/>
      <c r="AA299" s="40"/>
      <c r="AB299" s="26">
        <v>1</v>
      </c>
      <c r="AC299" s="46"/>
      <c r="AD299" s="46"/>
      <c r="AE299" s="46"/>
      <c r="AF299" s="26">
        <f>ROUND((AD299+AE299+AC299)*$AF$4,2)</f>
        <v>0</v>
      </c>
      <c r="AG299" s="26">
        <f>ROUND((AD299+AE299+AF299+AC299)*AG$4,2)</f>
        <v>0</v>
      </c>
      <c r="AH299" s="26">
        <f>ROUND((AD299+AE299+AF299+AG299+AC299)*AH$4,2)</f>
        <v>0</v>
      </c>
      <c r="AI299" s="26">
        <f t="shared" si="158"/>
        <v>0</v>
      </c>
      <c r="AJ299" s="26">
        <f t="shared" si="159"/>
        <v>0</v>
      </c>
      <c r="AK299" s="26">
        <f t="shared" si="160"/>
        <v>0</v>
      </c>
      <c r="AL299" s="26">
        <f t="shared" si="161"/>
        <v>0</v>
      </c>
      <c r="AM299" s="24"/>
      <c r="AN299" s="86"/>
      <c r="AO299" s="9"/>
      <c r="AP299" s="9"/>
      <c r="AQ299" s="50"/>
      <c r="AR299" s="50"/>
      <c r="AS299" s="50"/>
    </row>
    <row r="300" s="1" customFormat="1" ht="408" outlineLevel="2" spans="1:45">
      <c r="A300" s="111">
        <v>7</v>
      </c>
      <c r="B300" s="112" t="s">
        <v>66</v>
      </c>
      <c r="C300" s="107" t="s">
        <v>613</v>
      </c>
      <c r="D300" s="34" t="s">
        <v>544</v>
      </c>
      <c r="E300" s="27"/>
      <c r="F300" s="27"/>
      <c r="G300" s="25" t="s">
        <v>146</v>
      </c>
      <c r="H300" s="40"/>
      <c r="I300" s="40"/>
      <c r="J300" s="40"/>
      <c r="K300" s="40"/>
      <c r="L300" s="40"/>
      <c r="M300" s="40"/>
      <c r="N300" s="40"/>
      <c r="O300" s="40"/>
      <c r="P300" s="40"/>
      <c r="Q300" s="40"/>
      <c r="R300" s="40"/>
      <c r="S300" s="40"/>
      <c r="T300" s="40"/>
      <c r="U300" s="40"/>
      <c r="V300" s="40"/>
      <c r="W300" s="40"/>
      <c r="X300" s="40"/>
      <c r="Y300" s="40"/>
      <c r="Z300" s="40"/>
      <c r="AA300" s="40"/>
      <c r="AB300" s="26">
        <v>1</v>
      </c>
      <c r="AC300" s="46"/>
      <c r="AD300" s="46"/>
      <c r="AE300" s="46"/>
      <c r="AF300" s="26">
        <f>ROUND((AD300+AE300+AC300)*$AF$4,2)</f>
        <v>0</v>
      </c>
      <c r="AG300" s="26">
        <f>ROUND((AD300+AE300+AF300+AC300)*AG$4,2)</f>
        <v>0</v>
      </c>
      <c r="AH300" s="26">
        <f>ROUND((AD300+AE300+AF300+AG300+AC300)*AH$4,2)</f>
        <v>0</v>
      </c>
      <c r="AI300" s="26">
        <f t="shared" si="158"/>
        <v>0</v>
      </c>
      <c r="AJ300" s="26">
        <f t="shared" si="159"/>
        <v>0</v>
      </c>
      <c r="AK300" s="26">
        <f t="shared" si="160"/>
        <v>0</v>
      </c>
      <c r="AL300" s="26">
        <f t="shared" si="161"/>
        <v>0</v>
      </c>
      <c r="AM300" s="24"/>
      <c r="AN300" s="86"/>
      <c r="AO300" s="9"/>
      <c r="AP300" s="9"/>
      <c r="AQ300" s="50"/>
      <c r="AR300" s="50"/>
      <c r="AS300" s="50"/>
    </row>
    <row r="301" s="1" customFormat="1" ht="156" outlineLevel="2" spans="1:45">
      <c r="A301" s="111">
        <v>8</v>
      </c>
      <c r="B301" s="112" t="s">
        <v>67</v>
      </c>
      <c r="C301" s="107" t="s">
        <v>614</v>
      </c>
      <c r="D301" s="34" t="s">
        <v>544</v>
      </c>
      <c r="E301" s="27"/>
      <c r="F301" s="27"/>
      <c r="G301" s="25" t="s">
        <v>146</v>
      </c>
      <c r="H301" s="40"/>
      <c r="I301" s="40"/>
      <c r="J301" s="40"/>
      <c r="K301" s="40"/>
      <c r="L301" s="40"/>
      <c r="M301" s="40"/>
      <c r="N301" s="40"/>
      <c r="O301" s="40"/>
      <c r="P301" s="40"/>
      <c r="Q301" s="40"/>
      <c r="R301" s="40"/>
      <c r="S301" s="40"/>
      <c r="T301" s="40"/>
      <c r="U301" s="40"/>
      <c r="V301" s="40"/>
      <c r="W301" s="40"/>
      <c r="X301" s="40"/>
      <c r="Y301" s="40"/>
      <c r="Z301" s="40"/>
      <c r="AA301" s="40"/>
      <c r="AB301" s="26">
        <v>1</v>
      </c>
      <c r="AC301" s="46"/>
      <c r="AD301" s="46"/>
      <c r="AE301" s="46"/>
      <c r="AF301" s="26">
        <f>ROUND((AD301+AE301+AC301)*$AF$4,2)</f>
        <v>0</v>
      </c>
      <c r="AG301" s="26">
        <f>ROUND((AD301+AE301+AF301+AC301)*AG$4,2)</f>
        <v>0</v>
      </c>
      <c r="AH301" s="26">
        <f>ROUND((AD301+AE301+AF301+AG301+AC301)*AH$4,2)</f>
        <v>0</v>
      </c>
      <c r="AI301" s="26">
        <f t="shared" si="158"/>
        <v>0</v>
      </c>
      <c r="AJ301" s="26">
        <f t="shared" si="159"/>
        <v>0</v>
      </c>
      <c r="AK301" s="26">
        <f t="shared" si="160"/>
        <v>0</v>
      </c>
      <c r="AL301" s="26">
        <f t="shared" si="161"/>
        <v>0</v>
      </c>
      <c r="AM301" s="24"/>
      <c r="AN301" s="86"/>
      <c r="AO301" s="9"/>
      <c r="AP301" s="9"/>
      <c r="AQ301" s="50"/>
      <c r="AR301" s="50"/>
      <c r="AS301" s="50"/>
    </row>
    <row r="302" s="1" customFormat="1" ht="180" outlineLevel="2" spans="1:45">
      <c r="A302" s="111">
        <v>9</v>
      </c>
      <c r="B302" s="113" t="s">
        <v>615</v>
      </c>
      <c r="C302" s="107" t="s">
        <v>616</v>
      </c>
      <c r="D302" s="34" t="s">
        <v>544</v>
      </c>
      <c r="E302" s="27"/>
      <c r="F302" s="27"/>
      <c r="G302" s="25" t="s">
        <v>146</v>
      </c>
      <c r="H302" s="40"/>
      <c r="I302" s="40"/>
      <c r="J302" s="40"/>
      <c r="K302" s="40"/>
      <c r="L302" s="40"/>
      <c r="M302" s="40"/>
      <c r="N302" s="40"/>
      <c r="O302" s="40"/>
      <c r="P302" s="40"/>
      <c r="Q302" s="40"/>
      <c r="R302" s="40"/>
      <c r="S302" s="40"/>
      <c r="T302" s="40"/>
      <c r="U302" s="40"/>
      <c r="V302" s="40"/>
      <c r="W302" s="40"/>
      <c r="X302" s="40"/>
      <c r="Y302" s="40"/>
      <c r="Z302" s="40"/>
      <c r="AA302" s="40"/>
      <c r="AB302" s="26">
        <v>1</v>
      </c>
      <c r="AC302" s="46"/>
      <c r="AD302" s="46"/>
      <c r="AE302" s="46"/>
      <c r="AF302" s="26">
        <f>ROUND((AD302+AE302+AC302)*$AF$4,2)</f>
        <v>0</v>
      </c>
      <c r="AG302" s="26">
        <f>ROUND((AD302+AE302+AF302+AC302)*AG$4,2)</f>
        <v>0</v>
      </c>
      <c r="AH302" s="26">
        <f>ROUND((AD302+AE302+AF302+AG302+AC302)*AH$4,2)</f>
        <v>0</v>
      </c>
      <c r="AI302" s="26">
        <f t="shared" si="158"/>
        <v>0</v>
      </c>
      <c r="AJ302" s="26">
        <f t="shared" si="159"/>
        <v>0</v>
      </c>
      <c r="AK302" s="26">
        <f t="shared" si="160"/>
        <v>0</v>
      </c>
      <c r="AL302" s="26">
        <f t="shared" si="161"/>
        <v>0</v>
      </c>
      <c r="AM302" s="24"/>
      <c r="AN302" s="86"/>
      <c r="AO302" s="9"/>
      <c r="AP302" s="9"/>
      <c r="AQ302" s="50"/>
      <c r="AR302" s="50"/>
      <c r="AS302" s="50"/>
    </row>
    <row r="303" s="1" customFormat="1" ht="48" customHeight="1" outlineLevel="2" spans="1:45">
      <c r="A303" s="111">
        <v>10</v>
      </c>
      <c r="B303" s="112" t="s">
        <v>617</v>
      </c>
      <c r="C303" s="107" t="s">
        <v>618</v>
      </c>
      <c r="D303" s="34" t="s">
        <v>544</v>
      </c>
      <c r="E303" s="27"/>
      <c r="F303" s="27"/>
      <c r="G303" s="25" t="s">
        <v>146</v>
      </c>
      <c r="H303" s="40"/>
      <c r="I303" s="40"/>
      <c r="J303" s="40"/>
      <c r="K303" s="40"/>
      <c r="L303" s="40"/>
      <c r="M303" s="40"/>
      <c r="N303" s="40"/>
      <c r="O303" s="40"/>
      <c r="P303" s="40"/>
      <c r="Q303" s="40"/>
      <c r="R303" s="40"/>
      <c r="S303" s="40"/>
      <c r="T303" s="40"/>
      <c r="U303" s="40"/>
      <c r="V303" s="40"/>
      <c r="W303" s="40"/>
      <c r="X303" s="40"/>
      <c r="Y303" s="40"/>
      <c r="Z303" s="40"/>
      <c r="AA303" s="40"/>
      <c r="AB303" s="26">
        <v>1</v>
      </c>
      <c r="AC303" s="46"/>
      <c r="AD303" s="46"/>
      <c r="AE303" s="46"/>
      <c r="AF303" s="26">
        <f>ROUND((AD303+AE303+AC303)*$AF$4,2)</f>
        <v>0</v>
      </c>
      <c r="AG303" s="26">
        <f>ROUND((AD303+AE303+AF303+AC303)*AG$4,2)</f>
        <v>0</v>
      </c>
      <c r="AH303" s="26">
        <f>ROUND((AD303+AE303+AF303+AG303+AC303)*AH$4,2)</f>
        <v>0</v>
      </c>
      <c r="AI303" s="26">
        <f t="shared" si="158"/>
        <v>0</v>
      </c>
      <c r="AJ303" s="26">
        <f t="shared" si="159"/>
        <v>0</v>
      </c>
      <c r="AK303" s="26">
        <f t="shared" si="160"/>
        <v>0</v>
      </c>
      <c r="AL303" s="26">
        <f t="shared" si="161"/>
        <v>0</v>
      </c>
      <c r="AM303" s="24"/>
      <c r="AN303" s="86"/>
      <c r="AO303" s="9"/>
      <c r="AP303" s="9"/>
      <c r="AQ303" s="50"/>
      <c r="AR303" s="50"/>
      <c r="AS303" s="50"/>
    </row>
    <row r="304" s="1" customFormat="1" ht="30" customHeight="1" outlineLevel="1" spans="1:45">
      <c r="A304" s="21" t="s">
        <v>619</v>
      </c>
      <c r="B304" s="21"/>
      <c r="C304" s="114"/>
      <c r="D304" s="34"/>
      <c r="E304" s="25"/>
      <c r="F304" s="25"/>
      <c r="G304" s="25"/>
      <c r="H304" s="40"/>
      <c r="I304" s="40"/>
      <c r="J304" s="40"/>
      <c r="K304" s="40"/>
      <c r="L304" s="40"/>
      <c r="M304" s="40"/>
      <c r="N304" s="40"/>
      <c r="O304" s="40"/>
      <c r="P304" s="40"/>
      <c r="Q304" s="40"/>
      <c r="R304" s="40"/>
      <c r="S304" s="40"/>
      <c r="T304" s="40"/>
      <c r="U304" s="40"/>
      <c r="V304" s="40"/>
      <c r="W304" s="40"/>
      <c r="X304" s="40"/>
      <c r="Y304" s="40"/>
      <c r="Z304" s="40"/>
      <c r="AA304" s="40"/>
      <c r="AB304" s="26"/>
      <c r="AC304" s="26"/>
      <c r="AD304" s="26"/>
      <c r="AE304" s="26"/>
      <c r="AF304" s="26"/>
      <c r="AG304" s="26"/>
      <c r="AH304" s="26"/>
      <c r="AI304" s="26"/>
      <c r="AJ304" s="26"/>
      <c r="AK304" s="16">
        <f>AK305+AK306</f>
        <v>0</v>
      </c>
      <c r="AL304" s="16">
        <f>AL305+AL306</f>
        <v>0</v>
      </c>
      <c r="AM304" s="24"/>
      <c r="AN304" s="9"/>
      <c r="AO304" s="9"/>
      <c r="AP304" s="9"/>
      <c r="AQ304" s="50"/>
      <c r="AR304" s="50"/>
      <c r="AS304" s="50"/>
    </row>
    <row r="305" s="1" customFormat="1" ht="48" customHeight="1" outlineLevel="2" spans="1:45">
      <c r="A305" s="25">
        <v>1</v>
      </c>
      <c r="B305" s="23" t="s">
        <v>620</v>
      </c>
      <c r="C305" s="23" t="s">
        <v>621</v>
      </c>
      <c r="D305" s="34" t="s">
        <v>544</v>
      </c>
      <c r="E305" s="27"/>
      <c r="F305" s="27"/>
      <c r="G305" s="25" t="s">
        <v>146</v>
      </c>
      <c r="H305" s="40"/>
      <c r="I305" s="40"/>
      <c r="J305" s="40"/>
      <c r="K305" s="40"/>
      <c r="L305" s="40"/>
      <c r="M305" s="40"/>
      <c r="N305" s="40"/>
      <c r="O305" s="40"/>
      <c r="P305" s="40"/>
      <c r="Q305" s="40"/>
      <c r="R305" s="40"/>
      <c r="S305" s="40"/>
      <c r="T305" s="40"/>
      <c r="U305" s="40"/>
      <c r="V305" s="40"/>
      <c r="W305" s="40"/>
      <c r="X305" s="40"/>
      <c r="Y305" s="40"/>
      <c r="Z305" s="40"/>
      <c r="AA305" s="40"/>
      <c r="AB305" s="26">
        <v>1</v>
      </c>
      <c r="AC305" s="46"/>
      <c r="AD305" s="46"/>
      <c r="AE305" s="46"/>
      <c r="AF305" s="26">
        <f>ROUND((AD305+AE305+AC305)*$AF$4,2)</f>
        <v>0</v>
      </c>
      <c r="AG305" s="26">
        <f>ROUND((AD305+AE305+AF305+AC305)*AG$4,2)</f>
        <v>0</v>
      </c>
      <c r="AH305" s="26">
        <f>ROUND((AD305+AE305+AF305+AG305+AC305)*AH$4,2)</f>
        <v>0</v>
      </c>
      <c r="AI305" s="26">
        <f t="shared" ref="AI305:AI311" si="162">ROUND((AD305+AE305+AF305+AG305+AC305),2)</f>
        <v>0</v>
      </c>
      <c r="AJ305" s="26">
        <f t="shared" ref="AJ305:AJ311" si="163">ROUND((AD305+AE305+AF305+AG305+AH305+AC305),2)</f>
        <v>0</v>
      </c>
      <c r="AK305" s="26">
        <f t="shared" ref="AK305:AK311" si="164">ROUND((AI305*AB305),2)</f>
        <v>0</v>
      </c>
      <c r="AL305" s="26">
        <f t="shared" ref="AL305:AL311" si="165">ROUND((AJ305*AB305),2)</f>
        <v>0</v>
      </c>
      <c r="AM305" s="24"/>
      <c r="AN305" s="86"/>
      <c r="AO305" s="86"/>
      <c r="AP305" s="9"/>
      <c r="AQ305" s="50"/>
      <c r="AR305" s="50"/>
      <c r="AS305" s="50"/>
    </row>
    <row r="306" s="1" customFormat="1" ht="48" customHeight="1" outlineLevel="2" spans="1:45">
      <c r="A306" s="25">
        <v>2</v>
      </c>
      <c r="B306" s="23" t="s">
        <v>622</v>
      </c>
      <c r="C306" s="23" t="s">
        <v>623</v>
      </c>
      <c r="D306" s="34" t="s">
        <v>544</v>
      </c>
      <c r="E306" s="27"/>
      <c r="F306" s="27"/>
      <c r="G306" s="25" t="s">
        <v>146</v>
      </c>
      <c r="H306" s="40"/>
      <c r="I306" s="40"/>
      <c r="J306" s="40"/>
      <c r="K306" s="40"/>
      <c r="L306" s="40"/>
      <c r="M306" s="40"/>
      <c r="N306" s="40"/>
      <c r="O306" s="40"/>
      <c r="P306" s="40"/>
      <c r="Q306" s="40"/>
      <c r="R306" s="40"/>
      <c r="S306" s="40"/>
      <c r="T306" s="40"/>
      <c r="U306" s="40"/>
      <c r="V306" s="40"/>
      <c r="W306" s="40"/>
      <c r="X306" s="40"/>
      <c r="Y306" s="40"/>
      <c r="Z306" s="40"/>
      <c r="AA306" s="40"/>
      <c r="AB306" s="26">
        <v>1</v>
      </c>
      <c r="AC306" s="46"/>
      <c r="AD306" s="46"/>
      <c r="AE306" s="46"/>
      <c r="AF306" s="26">
        <f>ROUND((AD306+AE306+AC306)*$AF$4,2)</f>
        <v>0</v>
      </c>
      <c r="AG306" s="26">
        <f>ROUND((AD306+AE306+AF306+AC306)*AG$4,2)</f>
        <v>0</v>
      </c>
      <c r="AH306" s="26">
        <f>ROUND((AD306+AE306+AF306+AG306+AC306)*AH$4,2)</f>
        <v>0</v>
      </c>
      <c r="AI306" s="26">
        <f t="shared" si="162"/>
        <v>0</v>
      </c>
      <c r="AJ306" s="26">
        <f t="shared" si="163"/>
        <v>0</v>
      </c>
      <c r="AK306" s="26">
        <f t="shared" si="164"/>
        <v>0</v>
      </c>
      <c r="AL306" s="26">
        <f t="shared" si="165"/>
        <v>0</v>
      </c>
      <c r="AM306" s="24"/>
      <c r="AN306" s="86"/>
      <c r="AO306" s="86"/>
      <c r="AP306" s="9"/>
      <c r="AQ306" s="50"/>
      <c r="AR306" s="50"/>
      <c r="AS306" s="50"/>
    </row>
    <row r="307" s="1" customFormat="1" ht="30" customHeight="1" outlineLevel="1" spans="1:45">
      <c r="A307" s="13" t="s">
        <v>176</v>
      </c>
      <c r="B307" s="14" t="s">
        <v>177</v>
      </c>
      <c r="C307" s="21" t="s">
        <v>400</v>
      </c>
      <c r="D307" s="36"/>
      <c r="E307" s="36"/>
      <c r="F307" s="36"/>
      <c r="G307" s="13" t="s">
        <v>179</v>
      </c>
      <c r="H307" s="40"/>
      <c r="I307" s="40"/>
      <c r="J307" s="40"/>
      <c r="K307" s="40"/>
      <c r="L307" s="40"/>
      <c r="M307" s="40"/>
      <c r="N307" s="40"/>
      <c r="O307" s="40"/>
      <c r="P307" s="40"/>
      <c r="Q307" s="40"/>
      <c r="R307" s="40"/>
      <c r="S307" s="40"/>
      <c r="T307" s="40"/>
      <c r="U307" s="40"/>
      <c r="V307" s="40"/>
      <c r="W307" s="40"/>
      <c r="X307" s="40"/>
      <c r="Y307" s="40"/>
      <c r="Z307" s="40"/>
      <c r="AA307" s="40"/>
      <c r="AB307" s="16"/>
      <c r="AC307" s="16"/>
      <c r="AD307" s="16"/>
      <c r="AE307" s="16"/>
      <c r="AF307" s="16"/>
      <c r="AG307" s="16"/>
      <c r="AH307" s="16"/>
      <c r="AI307" s="16"/>
      <c r="AJ307" s="16"/>
      <c r="AK307" s="16">
        <f>AK286+AK290+AK293+AK304</f>
        <v>0</v>
      </c>
      <c r="AL307" s="16">
        <f>AL286+AL290+AL293+AL304</f>
        <v>0</v>
      </c>
      <c r="AM307" s="14"/>
      <c r="AN307" s="9"/>
      <c r="AO307" s="9"/>
      <c r="AP307" s="9"/>
      <c r="AQ307" s="50"/>
      <c r="AR307" s="50"/>
      <c r="AS307" s="50"/>
    </row>
    <row r="308" s="1" customFormat="1" ht="37" customHeight="1" spans="1:45">
      <c r="A308" s="17" t="s">
        <v>624</v>
      </c>
      <c r="B308" s="17"/>
      <c r="C308" s="17"/>
      <c r="D308" s="18"/>
      <c r="E308" s="81"/>
      <c r="F308" s="81"/>
      <c r="G308" s="81"/>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5">
        <f>AK335</f>
        <v>0</v>
      </c>
      <c r="AL308" s="85">
        <f>AL335</f>
        <v>0</v>
      </c>
      <c r="AM308" s="81"/>
      <c r="AN308" s="50"/>
      <c r="AO308" s="60"/>
      <c r="AP308" s="61"/>
      <c r="AQ308" s="60"/>
      <c r="AR308" s="60"/>
      <c r="AS308" s="60"/>
    </row>
    <row r="309" s="1" customFormat="1" ht="30" customHeight="1" outlineLevel="1" spans="1:45">
      <c r="A309" s="21" t="s">
        <v>625</v>
      </c>
      <c r="B309" s="23"/>
      <c r="C309" s="23"/>
      <c r="D309" s="24"/>
      <c r="E309" s="25"/>
      <c r="F309" s="25"/>
      <c r="G309" s="25"/>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16">
        <f>SUM(AK310:AK311)</f>
        <v>0</v>
      </c>
      <c r="AL309" s="16">
        <f>SUM(AL310:AL311)</f>
        <v>0</v>
      </c>
      <c r="AM309" s="25"/>
      <c r="AN309" s="9"/>
      <c r="AQ309" s="7"/>
      <c r="AR309" s="7"/>
      <c r="AS309" s="7"/>
    </row>
    <row r="310" s="1" customFormat="1" ht="36" outlineLevel="2" spans="1:45">
      <c r="A310" s="25">
        <v>1</v>
      </c>
      <c r="B310" s="23" t="s">
        <v>626</v>
      </c>
      <c r="C310" s="23" t="s">
        <v>627</v>
      </c>
      <c r="D310" s="24" t="s">
        <v>628</v>
      </c>
      <c r="E310" s="27"/>
      <c r="F310" s="27"/>
      <c r="G310" s="25" t="s">
        <v>146</v>
      </c>
      <c r="H310" s="26"/>
      <c r="I310" s="26">
        <v>4</v>
      </c>
      <c r="J310" s="26"/>
      <c r="K310" s="26"/>
      <c r="L310" s="26"/>
      <c r="M310" s="26"/>
      <c r="N310" s="26"/>
      <c r="O310" s="26"/>
      <c r="P310" s="26"/>
      <c r="Q310" s="26"/>
      <c r="R310" s="26"/>
      <c r="S310" s="26"/>
      <c r="T310" s="26"/>
      <c r="U310" s="26"/>
      <c r="V310" s="26"/>
      <c r="W310" s="26"/>
      <c r="X310" s="26"/>
      <c r="Y310" s="26"/>
      <c r="Z310" s="26"/>
      <c r="AA310" s="26">
        <v>3</v>
      </c>
      <c r="AB310" s="26">
        <f t="shared" ref="AB310:AB315" si="166">SUM(H310:AA310)</f>
        <v>7</v>
      </c>
      <c r="AC310" s="46"/>
      <c r="AD310" s="46"/>
      <c r="AE310" s="46"/>
      <c r="AF310" s="26">
        <f>ROUND((AD310+AE310+AC310)*$AF$4,2)</f>
        <v>0</v>
      </c>
      <c r="AG310" s="26">
        <f>ROUND((AD310+AE310+AF310+AC310)*AG$4,2)</f>
        <v>0</v>
      </c>
      <c r="AH310" s="26">
        <f>ROUND((AD310+AE310+AF310+AG310+AC310)*AH$4,2)</f>
        <v>0</v>
      </c>
      <c r="AI310" s="26">
        <f t="shared" si="162"/>
        <v>0</v>
      </c>
      <c r="AJ310" s="26">
        <f t="shared" si="163"/>
        <v>0</v>
      </c>
      <c r="AK310" s="26">
        <f t="shared" si="164"/>
        <v>0</v>
      </c>
      <c r="AL310" s="26">
        <f t="shared" si="165"/>
        <v>0</v>
      </c>
      <c r="AM310" s="25"/>
      <c r="AN310" s="86"/>
      <c r="AO310" s="86"/>
      <c r="AQ310" s="7"/>
      <c r="AR310" s="7"/>
      <c r="AS310" s="7"/>
    </row>
    <row r="311" s="1" customFormat="1" ht="84" outlineLevel="2" spans="1:45">
      <c r="A311" s="25">
        <v>2</v>
      </c>
      <c r="B311" s="23" t="s">
        <v>629</v>
      </c>
      <c r="C311" s="23" t="s">
        <v>630</v>
      </c>
      <c r="D311" s="24" t="s">
        <v>168</v>
      </c>
      <c r="E311" s="27"/>
      <c r="F311" s="27"/>
      <c r="G311" s="25" t="s">
        <v>146</v>
      </c>
      <c r="H311" s="26"/>
      <c r="I311" s="26">
        <f>2*I310</f>
        <v>8</v>
      </c>
      <c r="J311" s="26"/>
      <c r="K311" s="26"/>
      <c r="L311" s="26"/>
      <c r="M311" s="26"/>
      <c r="N311" s="26"/>
      <c r="O311" s="26"/>
      <c r="P311" s="26"/>
      <c r="Q311" s="26"/>
      <c r="R311" s="26"/>
      <c r="S311" s="26"/>
      <c r="T311" s="26"/>
      <c r="U311" s="26"/>
      <c r="V311" s="26"/>
      <c r="W311" s="26"/>
      <c r="X311" s="26"/>
      <c r="Y311" s="26"/>
      <c r="Z311" s="26"/>
      <c r="AA311" s="26">
        <f>2*AA310</f>
        <v>6</v>
      </c>
      <c r="AB311" s="26">
        <f t="shared" si="166"/>
        <v>14</v>
      </c>
      <c r="AC311" s="46"/>
      <c r="AD311" s="46"/>
      <c r="AE311" s="46"/>
      <c r="AF311" s="26">
        <f>ROUND((AD311+AE311+AC311)*$AF$4,2)</f>
        <v>0</v>
      </c>
      <c r="AG311" s="26">
        <f>ROUND((AD311+AE311+AF311+AC311)*AG$4,2)</f>
        <v>0</v>
      </c>
      <c r="AH311" s="26">
        <f>ROUND((AD311+AE311+AF311+AG311+AC311)*AH$4,2)</f>
        <v>0</v>
      </c>
      <c r="AI311" s="26">
        <f t="shared" si="162"/>
        <v>0</v>
      </c>
      <c r="AJ311" s="26">
        <f t="shared" si="163"/>
        <v>0</v>
      </c>
      <c r="AK311" s="26">
        <f t="shared" si="164"/>
        <v>0</v>
      </c>
      <c r="AL311" s="26">
        <f t="shared" si="165"/>
        <v>0</v>
      </c>
      <c r="AM311" s="25"/>
      <c r="AN311" s="86"/>
      <c r="AO311" s="86"/>
      <c r="AQ311" s="7"/>
      <c r="AR311" s="7"/>
      <c r="AS311" s="7"/>
    </row>
    <row r="312" s="1" customFormat="1" ht="30" customHeight="1" outlineLevel="1" spans="1:45">
      <c r="A312" s="21" t="s">
        <v>631</v>
      </c>
      <c r="B312" s="23"/>
      <c r="C312" s="23"/>
      <c r="D312" s="24"/>
      <c r="E312" s="25"/>
      <c r="F312" s="25"/>
      <c r="G312" s="25"/>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16">
        <f>SUM(AK313:AK315)</f>
        <v>0</v>
      </c>
      <c r="AL312" s="16">
        <f>SUM(AL313:AL315)</f>
        <v>0</v>
      </c>
      <c r="AM312" s="25"/>
      <c r="AN312" s="9"/>
      <c r="AQ312" s="7"/>
      <c r="AR312" s="7"/>
      <c r="AS312" s="7"/>
    </row>
    <row r="313" s="1" customFormat="1" ht="48" customHeight="1" outlineLevel="2" spans="1:45">
      <c r="A313" s="25">
        <v>1</v>
      </c>
      <c r="B313" s="23" t="s">
        <v>632</v>
      </c>
      <c r="C313" s="23" t="s">
        <v>633</v>
      </c>
      <c r="D313" s="24" t="s">
        <v>634</v>
      </c>
      <c r="E313" s="27"/>
      <c r="F313" s="27"/>
      <c r="G313" s="25" t="s">
        <v>146</v>
      </c>
      <c r="H313" s="26"/>
      <c r="I313" s="26">
        <v>2</v>
      </c>
      <c r="J313" s="26"/>
      <c r="K313" s="26"/>
      <c r="L313" s="26"/>
      <c r="M313" s="26"/>
      <c r="N313" s="26"/>
      <c r="O313" s="26"/>
      <c r="P313" s="26"/>
      <c r="Q313" s="26"/>
      <c r="R313" s="26"/>
      <c r="S313" s="26"/>
      <c r="T313" s="26"/>
      <c r="U313" s="26"/>
      <c r="V313" s="26"/>
      <c r="W313" s="26"/>
      <c r="X313" s="26"/>
      <c r="Y313" s="26"/>
      <c r="Z313" s="26"/>
      <c r="AA313" s="26"/>
      <c r="AB313" s="26">
        <f t="shared" si="166"/>
        <v>2</v>
      </c>
      <c r="AC313" s="46"/>
      <c r="AD313" s="46"/>
      <c r="AE313" s="46"/>
      <c r="AF313" s="26">
        <f>ROUND((AD313+AE313+AC313)*$AF$4,2)</f>
        <v>0</v>
      </c>
      <c r="AG313" s="26">
        <f>ROUND((AD313+AE313+AF313+AC313)*AG$4,2)</f>
        <v>0</v>
      </c>
      <c r="AH313" s="26">
        <f>ROUND((AD313+AE313+AF313+AG313+AC313)*AH$4,2)</f>
        <v>0</v>
      </c>
      <c r="AI313" s="26">
        <f t="shared" ref="AI313:AI315" si="167">ROUND((AD313+AE313+AF313+AG313+AC313),2)</f>
        <v>0</v>
      </c>
      <c r="AJ313" s="26">
        <f t="shared" ref="AJ313:AJ315" si="168">ROUND((AD313+AE313+AF313+AG313+AH313+AC313),2)</f>
        <v>0</v>
      </c>
      <c r="AK313" s="26">
        <f t="shared" ref="AK313:AK315" si="169">ROUND((AI313*AB313),2)</f>
        <v>0</v>
      </c>
      <c r="AL313" s="26">
        <f t="shared" ref="AL313:AL315" si="170">ROUND((AJ313*AB313),2)</f>
        <v>0</v>
      </c>
      <c r="AM313" s="25"/>
      <c r="AN313" s="86"/>
      <c r="AO313" s="86"/>
      <c r="AQ313" s="7"/>
      <c r="AR313" s="7"/>
      <c r="AS313" s="7"/>
    </row>
    <row r="314" s="1" customFormat="1" ht="48" customHeight="1" outlineLevel="2" spans="1:45">
      <c r="A314" s="25">
        <v>2</v>
      </c>
      <c r="B314" s="23" t="s">
        <v>635</v>
      </c>
      <c r="C314" s="23" t="s">
        <v>636</v>
      </c>
      <c r="D314" s="24" t="s">
        <v>637</v>
      </c>
      <c r="E314" s="27"/>
      <c r="F314" s="27"/>
      <c r="G314" s="25" t="s">
        <v>638</v>
      </c>
      <c r="H314" s="26"/>
      <c r="I314" s="26">
        <v>88</v>
      </c>
      <c r="J314" s="26"/>
      <c r="K314" s="26"/>
      <c r="L314" s="26"/>
      <c r="M314" s="26"/>
      <c r="N314" s="26"/>
      <c r="O314" s="26"/>
      <c r="P314" s="26"/>
      <c r="Q314" s="26"/>
      <c r="R314" s="26"/>
      <c r="S314" s="26"/>
      <c r="T314" s="26"/>
      <c r="U314" s="26"/>
      <c r="V314" s="26"/>
      <c r="W314" s="26"/>
      <c r="X314" s="26"/>
      <c r="Y314" s="26"/>
      <c r="Z314" s="26"/>
      <c r="AA314" s="26">
        <v>30</v>
      </c>
      <c r="AB314" s="26">
        <f t="shared" si="166"/>
        <v>118</v>
      </c>
      <c r="AC314" s="46"/>
      <c r="AD314" s="46"/>
      <c r="AE314" s="46"/>
      <c r="AF314" s="26">
        <f>ROUND((AD314+AE314+AC314)*$AF$4,2)</f>
        <v>0</v>
      </c>
      <c r="AG314" s="26">
        <f>ROUND((AD314+AE314+AF314+AC314)*AG$4,2)</f>
        <v>0</v>
      </c>
      <c r="AH314" s="26">
        <f>ROUND((AD314+AE314+AF314+AG314+AC314)*AH$4,2)</f>
        <v>0</v>
      </c>
      <c r="AI314" s="26">
        <f t="shared" si="167"/>
        <v>0</v>
      </c>
      <c r="AJ314" s="26">
        <f t="shared" si="168"/>
        <v>0</v>
      </c>
      <c r="AK314" s="26">
        <f t="shared" si="169"/>
        <v>0</v>
      </c>
      <c r="AL314" s="26">
        <f t="shared" si="170"/>
        <v>0</v>
      </c>
      <c r="AM314" s="25"/>
      <c r="AN314" s="86"/>
      <c r="AO314" s="86"/>
      <c r="AQ314" s="7"/>
      <c r="AR314" s="7"/>
      <c r="AS314" s="7"/>
    </row>
    <row r="315" s="1" customFormat="1" ht="48" customHeight="1" outlineLevel="2" spans="1:45">
      <c r="A315" s="25">
        <v>3</v>
      </c>
      <c r="B315" s="23" t="s">
        <v>639</v>
      </c>
      <c r="C315" s="23" t="s">
        <v>640</v>
      </c>
      <c r="D315" s="24" t="s">
        <v>168</v>
      </c>
      <c r="E315" s="27"/>
      <c r="F315" s="27"/>
      <c r="G315" s="25" t="s">
        <v>173</v>
      </c>
      <c r="H315" s="26"/>
      <c r="I315" s="26">
        <v>48</v>
      </c>
      <c r="J315" s="26"/>
      <c r="K315" s="26"/>
      <c r="L315" s="26"/>
      <c r="M315" s="26"/>
      <c r="N315" s="26"/>
      <c r="O315" s="26"/>
      <c r="P315" s="26"/>
      <c r="Q315" s="26"/>
      <c r="R315" s="26"/>
      <c r="S315" s="26"/>
      <c r="T315" s="26"/>
      <c r="U315" s="26"/>
      <c r="V315" s="26"/>
      <c r="W315" s="26"/>
      <c r="X315" s="26"/>
      <c r="Y315" s="26"/>
      <c r="Z315" s="26"/>
      <c r="AA315" s="26">
        <v>22</v>
      </c>
      <c r="AB315" s="26">
        <f t="shared" si="166"/>
        <v>70</v>
      </c>
      <c r="AC315" s="46"/>
      <c r="AD315" s="46"/>
      <c r="AE315" s="46"/>
      <c r="AF315" s="26">
        <f>ROUND((AD315+AE315+AC315)*$AF$4,2)</f>
        <v>0</v>
      </c>
      <c r="AG315" s="26">
        <f>ROUND((AD315+AE315+AF315+AC315)*AG$4,2)</f>
        <v>0</v>
      </c>
      <c r="AH315" s="26">
        <f>ROUND((AD315+AE315+AF315+AG315+AC315)*AH$4,2)</f>
        <v>0</v>
      </c>
      <c r="AI315" s="26">
        <f t="shared" si="167"/>
        <v>0</v>
      </c>
      <c r="AJ315" s="26">
        <f t="shared" si="168"/>
        <v>0</v>
      </c>
      <c r="AK315" s="26">
        <f t="shared" si="169"/>
        <v>0</v>
      </c>
      <c r="AL315" s="26">
        <f t="shared" si="170"/>
        <v>0</v>
      </c>
      <c r="AM315" s="25"/>
      <c r="AN315" s="86"/>
      <c r="AO315" s="86"/>
      <c r="AQ315" s="7"/>
      <c r="AR315" s="7"/>
      <c r="AS315" s="7"/>
    </row>
    <row r="316" s="1" customFormat="1" ht="30" customHeight="1" outlineLevel="1" spans="1:45">
      <c r="A316" s="21" t="s">
        <v>641</v>
      </c>
      <c r="B316" s="23"/>
      <c r="C316" s="23"/>
      <c r="D316" s="24"/>
      <c r="E316" s="25"/>
      <c r="F316" s="25"/>
      <c r="G316" s="25"/>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16">
        <f>SUM(AK317:AK330)</f>
        <v>0</v>
      </c>
      <c r="AL316" s="16">
        <f>SUM(AL317:AL330)</f>
        <v>0</v>
      </c>
      <c r="AM316" s="25"/>
      <c r="AN316" s="9"/>
      <c r="AQ316" s="7"/>
      <c r="AR316" s="7"/>
      <c r="AS316" s="7"/>
    </row>
    <row r="317" s="1" customFormat="1" ht="48" customHeight="1" outlineLevel="2" spans="1:45">
      <c r="A317" s="25">
        <v>1</v>
      </c>
      <c r="B317" s="23" t="s">
        <v>642</v>
      </c>
      <c r="C317" s="23" t="s">
        <v>643</v>
      </c>
      <c r="D317" s="24" t="s">
        <v>216</v>
      </c>
      <c r="E317" s="27"/>
      <c r="F317" s="27"/>
      <c r="G317" s="25" t="s">
        <v>134</v>
      </c>
      <c r="H317" s="26"/>
      <c r="I317" s="26">
        <v>1</v>
      </c>
      <c r="J317" s="26"/>
      <c r="K317" s="26"/>
      <c r="L317" s="26"/>
      <c r="M317" s="26"/>
      <c r="N317" s="26"/>
      <c r="O317" s="26"/>
      <c r="P317" s="26"/>
      <c r="Q317" s="26"/>
      <c r="R317" s="26"/>
      <c r="S317" s="26"/>
      <c r="T317" s="26"/>
      <c r="U317" s="26"/>
      <c r="V317" s="26"/>
      <c r="W317" s="26"/>
      <c r="X317" s="26"/>
      <c r="Y317" s="26"/>
      <c r="Z317" s="26"/>
      <c r="AA317" s="26"/>
      <c r="AB317" s="26">
        <f t="shared" ref="AB317:AB330" si="171">SUM(H317:AA317)</f>
        <v>1</v>
      </c>
      <c r="AC317" s="46"/>
      <c r="AD317" s="46"/>
      <c r="AE317" s="46"/>
      <c r="AF317" s="26">
        <f>ROUND((AD317+AE317+AC317)*$AF$4,2)</f>
        <v>0</v>
      </c>
      <c r="AG317" s="26">
        <f>ROUND((AD317+AE317+AF317+AC317)*AG$4,2)</f>
        <v>0</v>
      </c>
      <c r="AH317" s="26">
        <f>ROUND((AD317+AE317+AF317+AG317+AC317)*AH$4,2)</f>
        <v>0</v>
      </c>
      <c r="AI317" s="26">
        <f t="shared" ref="AI317:AI330" si="172">ROUND((AD317+AE317+AF317+AG317+AC317),2)</f>
        <v>0</v>
      </c>
      <c r="AJ317" s="26">
        <f t="shared" ref="AJ317:AJ330" si="173">ROUND((AD317+AE317+AF317+AG317+AH317+AC317),2)</f>
        <v>0</v>
      </c>
      <c r="AK317" s="26">
        <f t="shared" ref="AK317:AK330" si="174">ROUND((AI317*AB317),2)</f>
        <v>0</v>
      </c>
      <c r="AL317" s="26">
        <f t="shared" ref="AL317:AL330" si="175">ROUND((AJ317*AB317),2)</f>
        <v>0</v>
      </c>
      <c r="AM317" s="25"/>
      <c r="AN317" s="86"/>
      <c r="AO317" s="86"/>
      <c r="AQ317" s="7"/>
      <c r="AR317" s="7"/>
      <c r="AS317" s="7"/>
    </row>
    <row r="318" s="1" customFormat="1" ht="48" customHeight="1" outlineLevel="2" spans="1:45">
      <c r="A318" s="25">
        <v>2</v>
      </c>
      <c r="B318" s="23" t="s">
        <v>644</v>
      </c>
      <c r="C318" s="23" t="s">
        <v>645</v>
      </c>
      <c r="D318" s="24" t="s">
        <v>646</v>
      </c>
      <c r="E318" s="27"/>
      <c r="F318" s="27"/>
      <c r="G318" s="25" t="s">
        <v>329</v>
      </c>
      <c r="H318" s="26"/>
      <c r="I318" s="26">
        <v>64</v>
      </c>
      <c r="J318" s="26"/>
      <c r="K318" s="26"/>
      <c r="L318" s="26"/>
      <c r="M318" s="26"/>
      <c r="N318" s="26"/>
      <c r="O318" s="26"/>
      <c r="P318" s="26"/>
      <c r="Q318" s="26"/>
      <c r="R318" s="26"/>
      <c r="S318" s="26"/>
      <c r="T318" s="26"/>
      <c r="U318" s="26"/>
      <c r="V318" s="26"/>
      <c r="W318" s="26"/>
      <c r="X318" s="26"/>
      <c r="Y318" s="26"/>
      <c r="Z318" s="26"/>
      <c r="AA318" s="26"/>
      <c r="AB318" s="26">
        <f t="shared" si="171"/>
        <v>64</v>
      </c>
      <c r="AC318" s="46"/>
      <c r="AD318" s="46"/>
      <c r="AE318" s="46"/>
      <c r="AF318" s="26">
        <f>ROUND((AD318+AE318+AC318)*$AF$4,2)</f>
        <v>0</v>
      </c>
      <c r="AG318" s="26">
        <f>ROUND((AD318+AE318+AF318+AC318)*AG$4,2)</f>
        <v>0</v>
      </c>
      <c r="AH318" s="26">
        <f>ROUND((AD318+AE318+AF318+AG318+AC318)*AH$4,2)</f>
        <v>0</v>
      </c>
      <c r="AI318" s="26">
        <f t="shared" si="172"/>
        <v>0</v>
      </c>
      <c r="AJ318" s="26">
        <f t="shared" si="173"/>
        <v>0</v>
      </c>
      <c r="AK318" s="26">
        <f t="shared" si="174"/>
        <v>0</v>
      </c>
      <c r="AL318" s="26">
        <f t="shared" si="175"/>
        <v>0</v>
      </c>
      <c r="AM318" s="25"/>
      <c r="AN318" s="86"/>
      <c r="AO318" s="86"/>
      <c r="AQ318" s="7"/>
      <c r="AR318" s="7"/>
      <c r="AS318" s="7"/>
    </row>
    <row r="319" s="1" customFormat="1" ht="48" customHeight="1" outlineLevel="2" spans="1:45">
      <c r="A319" s="25">
        <v>3</v>
      </c>
      <c r="B319" s="23" t="s">
        <v>647</v>
      </c>
      <c r="C319" s="23" t="s">
        <v>648</v>
      </c>
      <c r="D319" s="24" t="s">
        <v>649</v>
      </c>
      <c r="E319" s="27"/>
      <c r="F319" s="27"/>
      <c r="G319" s="25" t="s">
        <v>191</v>
      </c>
      <c r="H319" s="26"/>
      <c r="I319" s="26">
        <v>2</v>
      </c>
      <c r="J319" s="26"/>
      <c r="K319" s="26"/>
      <c r="L319" s="26"/>
      <c r="M319" s="26"/>
      <c r="N319" s="26"/>
      <c r="O319" s="26"/>
      <c r="P319" s="26"/>
      <c r="Q319" s="26"/>
      <c r="R319" s="26"/>
      <c r="S319" s="26"/>
      <c r="T319" s="26"/>
      <c r="U319" s="26"/>
      <c r="V319" s="26"/>
      <c r="W319" s="26"/>
      <c r="X319" s="26"/>
      <c r="Y319" s="26"/>
      <c r="Z319" s="26"/>
      <c r="AA319" s="26"/>
      <c r="AB319" s="26">
        <f t="shared" si="171"/>
        <v>2</v>
      </c>
      <c r="AC319" s="46"/>
      <c r="AD319" s="46"/>
      <c r="AE319" s="46"/>
      <c r="AF319" s="26">
        <f>ROUND((AD319+AE319+AC319)*$AF$4,2)</f>
        <v>0</v>
      </c>
      <c r="AG319" s="26">
        <f>ROUND((AD319+AE319+AF319+AC319)*AG$4,2)</f>
        <v>0</v>
      </c>
      <c r="AH319" s="26">
        <f>ROUND((AD319+AE319+AF319+AG319+AC319)*AH$4,2)</f>
        <v>0</v>
      </c>
      <c r="AI319" s="26">
        <f t="shared" si="172"/>
        <v>0</v>
      </c>
      <c r="AJ319" s="26">
        <f t="shared" si="173"/>
        <v>0</v>
      </c>
      <c r="AK319" s="26">
        <f t="shared" si="174"/>
        <v>0</v>
      </c>
      <c r="AL319" s="26">
        <f t="shared" si="175"/>
        <v>0</v>
      </c>
      <c r="AM319" s="25"/>
      <c r="AN319" s="86"/>
      <c r="AO319" s="86"/>
      <c r="AQ319" s="7"/>
      <c r="AR319" s="7"/>
      <c r="AS319" s="7"/>
    </row>
    <row r="320" s="1" customFormat="1" ht="48" customHeight="1" outlineLevel="2" spans="1:45">
      <c r="A320" s="25">
        <v>4</v>
      </c>
      <c r="B320" s="23" t="s">
        <v>650</v>
      </c>
      <c r="C320" s="23" t="s">
        <v>651</v>
      </c>
      <c r="D320" s="24" t="s">
        <v>168</v>
      </c>
      <c r="E320" s="27"/>
      <c r="F320" s="27"/>
      <c r="G320" s="25" t="s">
        <v>191</v>
      </c>
      <c r="H320" s="26"/>
      <c r="I320" s="26">
        <v>6</v>
      </c>
      <c r="J320" s="26"/>
      <c r="K320" s="26"/>
      <c r="L320" s="26"/>
      <c r="M320" s="26"/>
      <c r="N320" s="26"/>
      <c r="O320" s="26"/>
      <c r="P320" s="26"/>
      <c r="Q320" s="26"/>
      <c r="R320" s="26"/>
      <c r="S320" s="26"/>
      <c r="T320" s="26"/>
      <c r="U320" s="26"/>
      <c r="V320" s="26"/>
      <c r="W320" s="26"/>
      <c r="X320" s="26"/>
      <c r="Y320" s="26"/>
      <c r="Z320" s="26"/>
      <c r="AA320" s="26"/>
      <c r="AB320" s="26">
        <f t="shared" si="171"/>
        <v>6</v>
      </c>
      <c r="AC320" s="46"/>
      <c r="AD320" s="46"/>
      <c r="AE320" s="46"/>
      <c r="AF320" s="26">
        <f>ROUND((AD320+AE320+AC320)*$AF$4,2)</f>
        <v>0</v>
      </c>
      <c r="AG320" s="26">
        <f>ROUND((AD320+AE320+AF320+AC320)*AG$4,2)</f>
        <v>0</v>
      </c>
      <c r="AH320" s="26">
        <f>ROUND((AD320+AE320+AF320+AG320+AC320)*AH$4,2)</f>
        <v>0</v>
      </c>
      <c r="AI320" s="26">
        <f t="shared" si="172"/>
        <v>0</v>
      </c>
      <c r="AJ320" s="26">
        <f t="shared" si="173"/>
        <v>0</v>
      </c>
      <c r="AK320" s="26">
        <f t="shared" si="174"/>
        <v>0</v>
      </c>
      <c r="AL320" s="26">
        <f t="shared" si="175"/>
        <v>0</v>
      </c>
      <c r="AM320" s="25"/>
      <c r="AN320" s="86"/>
      <c r="AO320" s="86"/>
      <c r="AQ320" s="7"/>
      <c r="AR320" s="7"/>
      <c r="AS320" s="7"/>
    </row>
    <row r="321" s="1" customFormat="1" ht="48" customHeight="1" outlineLevel="2" spans="1:45">
      <c r="A321" s="25">
        <v>5</v>
      </c>
      <c r="B321" s="23" t="s">
        <v>652</v>
      </c>
      <c r="C321" s="23" t="s">
        <v>653</v>
      </c>
      <c r="D321" s="24" t="s">
        <v>216</v>
      </c>
      <c r="E321" s="27"/>
      <c r="F321" s="27"/>
      <c r="G321" s="25" t="s">
        <v>146</v>
      </c>
      <c r="H321" s="26"/>
      <c r="I321" s="26">
        <v>1</v>
      </c>
      <c r="J321" s="26"/>
      <c r="K321" s="26"/>
      <c r="L321" s="26"/>
      <c r="M321" s="26"/>
      <c r="N321" s="26"/>
      <c r="O321" s="26"/>
      <c r="P321" s="26"/>
      <c r="Q321" s="26"/>
      <c r="R321" s="26"/>
      <c r="S321" s="26"/>
      <c r="T321" s="26"/>
      <c r="U321" s="26"/>
      <c r="V321" s="26"/>
      <c r="W321" s="26"/>
      <c r="X321" s="26"/>
      <c r="Y321" s="26"/>
      <c r="Z321" s="26"/>
      <c r="AA321" s="26"/>
      <c r="AB321" s="26">
        <f t="shared" si="171"/>
        <v>1</v>
      </c>
      <c r="AC321" s="46"/>
      <c r="AD321" s="46"/>
      <c r="AE321" s="46"/>
      <c r="AF321" s="26">
        <f>ROUND((AD321+AE321+AC321)*$AF$4,2)</f>
        <v>0</v>
      </c>
      <c r="AG321" s="26">
        <f>ROUND((AD321+AE321+AF321+AC321)*AG$4,2)</f>
        <v>0</v>
      </c>
      <c r="AH321" s="26">
        <f>ROUND((AD321+AE321+AF321+AG321+AC321)*AH$4,2)</f>
        <v>0</v>
      </c>
      <c r="AI321" s="26">
        <f t="shared" si="172"/>
        <v>0</v>
      </c>
      <c r="AJ321" s="26">
        <f t="shared" si="173"/>
        <v>0</v>
      </c>
      <c r="AK321" s="26">
        <f t="shared" si="174"/>
        <v>0</v>
      </c>
      <c r="AL321" s="26">
        <f t="shared" si="175"/>
        <v>0</v>
      </c>
      <c r="AM321" s="25"/>
      <c r="AN321" s="86"/>
      <c r="AO321" s="86"/>
      <c r="AQ321" s="50"/>
      <c r="AR321" s="50"/>
      <c r="AS321" s="50"/>
    </row>
    <row r="322" s="1" customFormat="1" ht="48" customHeight="1" outlineLevel="2" spans="1:45">
      <c r="A322" s="25">
        <v>6</v>
      </c>
      <c r="B322" s="23" t="s">
        <v>654</v>
      </c>
      <c r="C322" s="23" t="s">
        <v>655</v>
      </c>
      <c r="D322" s="24" t="s">
        <v>216</v>
      </c>
      <c r="E322" s="27"/>
      <c r="F322" s="27"/>
      <c r="G322" s="25" t="s">
        <v>146</v>
      </c>
      <c r="H322" s="26"/>
      <c r="I322" s="26">
        <v>16</v>
      </c>
      <c r="J322" s="26"/>
      <c r="K322" s="26"/>
      <c r="L322" s="26"/>
      <c r="M322" s="26"/>
      <c r="N322" s="26"/>
      <c r="O322" s="26"/>
      <c r="P322" s="26"/>
      <c r="Q322" s="26"/>
      <c r="R322" s="26"/>
      <c r="S322" s="26"/>
      <c r="T322" s="26"/>
      <c r="U322" s="26"/>
      <c r="V322" s="26"/>
      <c r="W322" s="26"/>
      <c r="X322" s="26"/>
      <c r="Y322" s="26"/>
      <c r="Z322" s="26"/>
      <c r="AA322" s="26"/>
      <c r="AB322" s="26">
        <f t="shared" si="171"/>
        <v>16</v>
      </c>
      <c r="AC322" s="46"/>
      <c r="AD322" s="46"/>
      <c r="AE322" s="46"/>
      <c r="AF322" s="26">
        <f>ROUND((AD322+AE322+AC322)*$AF$4,2)</f>
        <v>0</v>
      </c>
      <c r="AG322" s="26">
        <f>ROUND((AD322+AE322+AF322+AC322)*AG$4,2)</f>
        <v>0</v>
      </c>
      <c r="AH322" s="26">
        <f>ROUND((AD322+AE322+AF322+AG322+AC322)*AH$4,2)</f>
        <v>0</v>
      </c>
      <c r="AI322" s="26">
        <f t="shared" si="172"/>
        <v>0</v>
      </c>
      <c r="AJ322" s="26">
        <f t="shared" si="173"/>
        <v>0</v>
      </c>
      <c r="AK322" s="26">
        <f t="shared" si="174"/>
        <v>0</v>
      </c>
      <c r="AL322" s="26">
        <f t="shared" si="175"/>
        <v>0</v>
      </c>
      <c r="AM322" s="25"/>
      <c r="AN322" s="86"/>
      <c r="AO322" s="86"/>
      <c r="AQ322" s="50"/>
      <c r="AR322" s="50"/>
      <c r="AS322" s="50"/>
    </row>
    <row r="323" s="1" customFormat="1" ht="48" customHeight="1" outlineLevel="2" spans="1:46">
      <c r="A323" s="25">
        <v>7</v>
      </c>
      <c r="B323" s="23" t="s">
        <v>656</v>
      </c>
      <c r="C323" s="23" t="s">
        <v>657</v>
      </c>
      <c r="D323" s="24" t="s">
        <v>216</v>
      </c>
      <c r="E323" s="27"/>
      <c r="F323" s="27"/>
      <c r="G323" s="25" t="s">
        <v>146</v>
      </c>
      <c r="H323" s="26"/>
      <c r="I323" s="26">
        <v>15</v>
      </c>
      <c r="J323" s="26"/>
      <c r="K323" s="26"/>
      <c r="L323" s="26"/>
      <c r="M323" s="26"/>
      <c r="N323" s="26"/>
      <c r="O323" s="26"/>
      <c r="P323" s="26"/>
      <c r="Q323" s="26"/>
      <c r="R323" s="26"/>
      <c r="S323" s="26"/>
      <c r="T323" s="26"/>
      <c r="U323" s="26"/>
      <c r="V323" s="26"/>
      <c r="W323" s="26"/>
      <c r="X323" s="26"/>
      <c r="Y323" s="26"/>
      <c r="Z323" s="26"/>
      <c r="AA323" s="26"/>
      <c r="AB323" s="26">
        <f t="shared" si="171"/>
        <v>15</v>
      </c>
      <c r="AC323" s="46"/>
      <c r="AD323" s="46"/>
      <c r="AE323" s="46"/>
      <c r="AF323" s="26">
        <f>ROUND((AD323+AE323+AC323)*$AF$4,2)</f>
        <v>0</v>
      </c>
      <c r="AG323" s="26">
        <f>ROUND((AD323+AE323+AF323+AC323)*AG$4,2)</f>
        <v>0</v>
      </c>
      <c r="AH323" s="26">
        <f>ROUND((AD323+AE323+AF323+AG323+AC323)*AH$4,2)</f>
        <v>0</v>
      </c>
      <c r="AI323" s="26">
        <f t="shared" si="172"/>
        <v>0</v>
      </c>
      <c r="AJ323" s="26">
        <f t="shared" si="173"/>
        <v>0</v>
      </c>
      <c r="AK323" s="26">
        <f t="shared" si="174"/>
        <v>0</v>
      </c>
      <c r="AL323" s="26">
        <f t="shared" si="175"/>
        <v>0</v>
      </c>
      <c r="AM323" s="24"/>
      <c r="AN323" s="86"/>
      <c r="AO323" s="86"/>
      <c r="AP323" s="50"/>
      <c r="AQ323" s="50"/>
      <c r="AR323" s="50"/>
      <c r="AS323" s="50"/>
      <c r="AT323" s="50"/>
    </row>
    <row r="324" s="1" customFormat="1" ht="48" customHeight="1" outlineLevel="2" spans="1:45">
      <c r="A324" s="25">
        <v>8</v>
      </c>
      <c r="B324" s="23" t="s">
        <v>658</v>
      </c>
      <c r="C324" s="23" t="s">
        <v>655</v>
      </c>
      <c r="D324" s="24" t="s">
        <v>216</v>
      </c>
      <c r="E324" s="27"/>
      <c r="F324" s="27"/>
      <c r="G324" s="25" t="s">
        <v>146</v>
      </c>
      <c r="H324" s="26"/>
      <c r="I324" s="26">
        <v>2</v>
      </c>
      <c r="J324" s="26"/>
      <c r="K324" s="26"/>
      <c r="L324" s="26"/>
      <c r="M324" s="26"/>
      <c r="N324" s="26"/>
      <c r="O324" s="26"/>
      <c r="P324" s="26"/>
      <c r="Q324" s="26"/>
      <c r="R324" s="26"/>
      <c r="S324" s="26"/>
      <c r="T324" s="26"/>
      <c r="U324" s="26"/>
      <c r="V324" s="26"/>
      <c r="W324" s="26"/>
      <c r="X324" s="26"/>
      <c r="Y324" s="26"/>
      <c r="Z324" s="26"/>
      <c r="AA324" s="26"/>
      <c r="AB324" s="26">
        <f t="shared" si="171"/>
        <v>2</v>
      </c>
      <c r="AC324" s="46"/>
      <c r="AD324" s="46"/>
      <c r="AE324" s="46"/>
      <c r="AF324" s="26">
        <f>ROUND((AD324+AE324+AC324)*$AF$4,2)</f>
        <v>0</v>
      </c>
      <c r="AG324" s="26">
        <f>ROUND((AD324+AE324+AF324+AC324)*AG$4,2)</f>
        <v>0</v>
      </c>
      <c r="AH324" s="26">
        <f>ROUND((AD324+AE324+AF324+AG324+AC324)*AH$4,2)</f>
        <v>0</v>
      </c>
      <c r="AI324" s="26">
        <f t="shared" si="172"/>
        <v>0</v>
      </c>
      <c r="AJ324" s="26">
        <f t="shared" si="173"/>
        <v>0</v>
      </c>
      <c r="AK324" s="26">
        <f t="shared" si="174"/>
        <v>0</v>
      </c>
      <c r="AL324" s="26">
        <f t="shared" si="175"/>
        <v>0</v>
      </c>
      <c r="AM324" s="25"/>
      <c r="AN324" s="86"/>
      <c r="AO324" s="86"/>
      <c r="AQ324" s="7"/>
      <c r="AR324" s="7"/>
      <c r="AS324" s="7"/>
    </row>
    <row r="325" s="3" customFormat="1" ht="48" customHeight="1" outlineLevel="2" spans="1:45">
      <c r="A325" s="28">
        <v>9</v>
      </c>
      <c r="B325" s="30" t="s">
        <v>659</v>
      </c>
      <c r="C325" s="30" t="s">
        <v>659</v>
      </c>
      <c r="D325" s="31" t="s">
        <v>168</v>
      </c>
      <c r="E325" s="32"/>
      <c r="F325" s="32"/>
      <c r="G325" s="28" t="s">
        <v>146</v>
      </c>
      <c r="H325" s="33"/>
      <c r="I325" s="33">
        <v>3</v>
      </c>
      <c r="J325" s="33"/>
      <c r="K325" s="33"/>
      <c r="L325" s="33"/>
      <c r="M325" s="33"/>
      <c r="N325" s="33"/>
      <c r="O325" s="33"/>
      <c r="P325" s="33"/>
      <c r="Q325" s="33"/>
      <c r="R325" s="33"/>
      <c r="S325" s="33"/>
      <c r="T325" s="33"/>
      <c r="U325" s="33"/>
      <c r="V325" s="33"/>
      <c r="W325" s="33"/>
      <c r="X325" s="33"/>
      <c r="Y325" s="33"/>
      <c r="Z325" s="33"/>
      <c r="AA325" s="33"/>
      <c r="AB325" s="33">
        <f t="shared" si="171"/>
        <v>3</v>
      </c>
      <c r="AC325" s="47"/>
      <c r="AD325" s="47"/>
      <c r="AE325" s="47"/>
      <c r="AF325" s="33">
        <f>ROUND((AD325+AE325+AC325)*$AF$4,2)</f>
        <v>0</v>
      </c>
      <c r="AG325" s="33">
        <f>ROUND((AD325+AE325+AF325+AC325)*AG$4,2)</f>
        <v>0</v>
      </c>
      <c r="AH325" s="33">
        <f>ROUND((AD325+AE325+AF325+AG325+AC325)*AH$4,2)</f>
        <v>0</v>
      </c>
      <c r="AI325" s="33">
        <f t="shared" si="172"/>
        <v>0</v>
      </c>
      <c r="AJ325" s="33">
        <f t="shared" si="173"/>
        <v>0</v>
      </c>
      <c r="AK325" s="33">
        <f t="shared" si="174"/>
        <v>0</v>
      </c>
      <c r="AL325" s="33">
        <f t="shared" si="175"/>
        <v>0</v>
      </c>
      <c r="AM325" s="28"/>
      <c r="AN325" s="119"/>
      <c r="AO325" s="122"/>
      <c r="AQ325" s="123"/>
      <c r="AR325" s="123"/>
      <c r="AS325" s="123"/>
    </row>
    <row r="326" s="3" customFormat="1" ht="154" customHeight="1" outlineLevel="2" spans="1:45">
      <c r="A326" s="28">
        <v>10</v>
      </c>
      <c r="B326" s="30" t="s">
        <v>660</v>
      </c>
      <c r="C326" s="30" t="s">
        <v>661</v>
      </c>
      <c r="D326" s="31" t="s">
        <v>168</v>
      </c>
      <c r="E326" s="32"/>
      <c r="F326" s="32"/>
      <c r="G326" s="28" t="s">
        <v>146</v>
      </c>
      <c r="H326" s="33"/>
      <c r="I326" s="33">
        <v>1</v>
      </c>
      <c r="J326" s="33"/>
      <c r="K326" s="33"/>
      <c r="L326" s="33"/>
      <c r="M326" s="33"/>
      <c r="N326" s="33"/>
      <c r="O326" s="33"/>
      <c r="P326" s="33"/>
      <c r="Q326" s="33"/>
      <c r="R326" s="33"/>
      <c r="S326" s="33"/>
      <c r="T326" s="33"/>
      <c r="U326" s="33"/>
      <c r="V326" s="33"/>
      <c r="W326" s="33"/>
      <c r="X326" s="33"/>
      <c r="Y326" s="33"/>
      <c r="Z326" s="33"/>
      <c r="AA326" s="33"/>
      <c r="AB326" s="33">
        <f t="shared" si="171"/>
        <v>1</v>
      </c>
      <c r="AC326" s="47"/>
      <c r="AD326" s="47"/>
      <c r="AE326" s="47"/>
      <c r="AF326" s="33">
        <f>ROUND((AD326+AE326+AC326)*$AF$4,2)</f>
        <v>0</v>
      </c>
      <c r="AG326" s="33">
        <f>ROUND((AD326+AE326+AF326+AC326)*AG$4,2)</f>
        <v>0</v>
      </c>
      <c r="AH326" s="33">
        <f>ROUND((AD326+AE326+AF326+AG326+AC326)*AH$4,2)</f>
        <v>0</v>
      </c>
      <c r="AI326" s="33">
        <f t="shared" si="172"/>
        <v>0</v>
      </c>
      <c r="AJ326" s="33">
        <f t="shared" si="173"/>
        <v>0</v>
      </c>
      <c r="AK326" s="33">
        <f t="shared" si="174"/>
        <v>0</v>
      </c>
      <c r="AL326" s="33">
        <f t="shared" si="175"/>
        <v>0</v>
      </c>
      <c r="AM326" s="28"/>
      <c r="AN326" s="119"/>
      <c r="AO326" s="122"/>
      <c r="AQ326" s="123"/>
      <c r="AR326" s="123"/>
      <c r="AS326" s="123"/>
    </row>
    <row r="327" s="1" customFormat="1" ht="48" customHeight="1" outlineLevel="2" spans="1:46">
      <c r="A327" s="25">
        <v>11</v>
      </c>
      <c r="B327" s="23" t="s">
        <v>662</v>
      </c>
      <c r="C327" s="23" t="s">
        <v>663</v>
      </c>
      <c r="D327" s="24" t="s">
        <v>162</v>
      </c>
      <c r="E327" s="27"/>
      <c r="F327" s="27"/>
      <c r="G327" s="25" t="s">
        <v>173</v>
      </c>
      <c r="H327" s="26"/>
      <c r="I327" s="26">
        <v>100</v>
      </c>
      <c r="J327" s="26"/>
      <c r="K327" s="26"/>
      <c r="L327" s="26"/>
      <c r="M327" s="26"/>
      <c r="N327" s="26"/>
      <c r="O327" s="26"/>
      <c r="P327" s="26"/>
      <c r="Q327" s="26"/>
      <c r="R327" s="26"/>
      <c r="S327" s="26"/>
      <c r="T327" s="26"/>
      <c r="U327" s="26"/>
      <c r="V327" s="26"/>
      <c r="W327" s="26"/>
      <c r="X327" s="26"/>
      <c r="Y327" s="26"/>
      <c r="Z327" s="26"/>
      <c r="AA327" s="26"/>
      <c r="AB327" s="26">
        <f t="shared" si="171"/>
        <v>100</v>
      </c>
      <c r="AC327" s="46"/>
      <c r="AD327" s="46"/>
      <c r="AE327" s="46"/>
      <c r="AF327" s="26">
        <f>ROUND((AD327+AE327+AC327)*$AF$4,2)</f>
        <v>0</v>
      </c>
      <c r="AG327" s="26">
        <f>ROUND((AD327+AE327+AF327+AC327)*AG$4,2)</f>
        <v>0</v>
      </c>
      <c r="AH327" s="26">
        <f>ROUND((AD327+AE327+AF327+AG327+AC327)*AH$4,2)</f>
        <v>0</v>
      </c>
      <c r="AI327" s="26">
        <f t="shared" si="172"/>
        <v>0</v>
      </c>
      <c r="AJ327" s="26">
        <f t="shared" si="173"/>
        <v>0</v>
      </c>
      <c r="AK327" s="26">
        <f t="shared" si="174"/>
        <v>0</v>
      </c>
      <c r="AL327" s="26">
        <f t="shared" si="175"/>
        <v>0</v>
      </c>
      <c r="AM327" s="24"/>
      <c r="AN327" s="120"/>
      <c r="AO327" s="86"/>
      <c r="AP327" s="50"/>
      <c r="AQ327" s="50"/>
      <c r="AR327" s="50"/>
      <c r="AS327" s="50"/>
      <c r="AT327" s="50"/>
    </row>
    <row r="328" s="1" customFormat="1" ht="48" customHeight="1" outlineLevel="2" spans="1:46">
      <c r="A328" s="25">
        <v>12</v>
      </c>
      <c r="B328" s="23" t="s">
        <v>664</v>
      </c>
      <c r="C328" s="23" t="s">
        <v>665</v>
      </c>
      <c r="D328" s="24" t="s">
        <v>162</v>
      </c>
      <c r="E328" s="27"/>
      <c r="F328" s="27"/>
      <c r="G328" s="25" t="s">
        <v>173</v>
      </c>
      <c r="H328" s="26"/>
      <c r="I328" s="26">
        <v>300</v>
      </c>
      <c r="J328" s="26"/>
      <c r="K328" s="26"/>
      <c r="L328" s="26"/>
      <c r="M328" s="26"/>
      <c r="N328" s="26"/>
      <c r="O328" s="26"/>
      <c r="P328" s="26"/>
      <c r="Q328" s="26"/>
      <c r="R328" s="26"/>
      <c r="S328" s="26"/>
      <c r="T328" s="26"/>
      <c r="U328" s="26"/>
      <c r="V328" s="26"/>
      <c r="W328" s="26"/>
      <c r="X328" s="26"/>
      <c r="Y328" s="26"/>
      <c r="Z328" s="26"/>
      <c r="AA328" s="26"/>
      <c r="AB328" s="26">
        <f t="shared" si="171"/>
        <v>300</v>
      </c>
      <c r="AC328" s="46"/>
      <c r="AD328" s="46"/>
      <c r="AE328" s="46"/>
      <c r="AF328" s="26">
        <f>ROUND((AD328+AE328+AC328)*$AF$4,2)</f>
        <v>0</v>
      </c>
      <c r="AG328" s="26">
        <f>ROUND((AD328+AE328+AF328+AC328)*AG$4,2)</f>
        <v>0</v>
      </c>
      <c r="AH328" s="26">
        <f>ROUND((AD328+AE328+AF328+AG328+AC328)*AH$4,2)</f>
        <v>0</v>
      </c>
      <c r="AI328" s="26">
        <f t="shared" si="172"/>
        <v>0</v>
      </c>
      <c r="AJ328" s="26">
        <f t="shared" si="173"/>
        <v>0</v>
      </c>
      <c r="AK328" s="26">
        <f t="shared" si="174"/>
        <v>0</v>
      </c>
      <c r="AL328" s="26">
        <f t="shared" si="175"/>
        <v>0</v>
      </c>
      <c r="AM328" s="24"/>
      <c r="AN328" s="120"/>
      <c r="AO328" s="86"/>
      <c r="AP328" s="50"/>
      <c r="AQ328" s="50"/>
      <c r="AR328" s="50"/>
      <c r="AS328" s="50"/>
      <c r="AT328" s="50"/>
    </row>
    <row r="329" s="1" customFormat="1" ht="48" customHeight="1" outlineLevel="2" spans="1:45">
      <c r="A329" s="25">
        <v>13</v>
      </c>
      <c r="B329" s="23" t="s">
        <v>666</v>
      </c>
      <c r="C329" s="23" t="s">
        <v>456</v>
      </c>
      <c r="D329" s="24" t="s">
        <v>162</v>
      </c>
      <c r="E329" s="27"/>
      <c r="F329" s="27"/>
      <c r="G329" s="25" t="s">
        <v>173</v>
      </c>
      <c r="H329" s="26">
        <v>268.233</v>
      </c>
      <c r="I329" s="26">
        <v>333.372</v>
      </c>
      <c r="J329" s="26">
        <v>274.57</v>
      </c>
      <c r="K329" s="26">
        <v>344.813</v>
      </c>
      <c r="L329" s="26">
        <f>K329</f>
        <v>344.813</v>
      </c>
      <c r="M329" s="26">
        <v>337.749</v>
      </c>
      <c r="N329" s="26">
        <v>247.087</v>
      </c>
      <c r="O329" s="26">
        <v>288.486</v>
      </c>
      <c r="P329" s="26">
        <v>282</v>
      </c>
      <c r="Q329" s="26">
        <v>283.02</v>
      </c>
      <c r="R329" s="26">
        <v>254.138</v>
      </c>
      <c r="S329" s="26">
        <v>107.964</v>
      </c>
      <c r="T329" s="26">
        <v>51.277</v>
      </c>
      <c r="U329" s="26">
        <v>294.569</v>
      </c>
      <c r="V329" s="26">
        <v>278.72</v>
      </c>
      <c r="W329" s="26">
        <v>11.4595</v>
      </c>
      <c r="X329" s="26"/>
      <c r="Y329" s="26"/>
      <c r="Z329" s="26">
        <v>38.4375</v>
      </c>
      <c r="AA329" s="26">
        <v>3385.904</v>
      </c>
      <c r="AB329" s="26">
        <f t="shared" si="171"/>
        <v>7426.612</v>
      </c>
      <c r="AC329" s="46"/>
      <c r="AD329" s="46"/>
      <c r="AE329" s="46"/>
      <c r="AF329" s="26">
        <f>ROUND((AD329+AE329+AC329)*$AF$4,2)</f>
        <v>0</v>
      </c>
      <c r="AG329" s="26">
        <f>ROUND((AD329+AE329+AF329+AC329)*AG$4,2)</f>
        <v>0</v>
      </c>
      <c r="AH329" s="26">
        <f>ROUND((AD329+AE329+AF329+AG329+AC329)*AH$4,2)</f>
        <v>0</v>
      </c>
      <c r="AI329" s="26">
        <f t="shared" si="172"/>
        <v>0</v>
      </c>
      <c r="AJ329" s="26">
        <f t="shared" si="173"/>
        <v>0</v>
      </c>
      <c r="AK329" s="26">
        <f t="shared" si="174"/>
        <v>0</v>
      </c>
      <c r="AL329" s="26">
        <f t="shared" si="175"/>
        <v>0</v>
      </c>
      <c r="AM329" s="25"/>
      <c r="AN329" s="50"/>
      <c r="AO329" s="60"/>
      <c r="AP329" s="61"/>
      <c r="AQ329" s="60"/>
      <c r="AR329" s="60"/>
      <c r="AS329" s="60"/>
    </row>
    <row r="330" s="1" customFormat="1" ht="48" customHeight="1" outlineLevel="2" spans="1:46">
      <c r="A330" s="25">
        <v>14</v>
      </c>
      <c r="B330" s="23" t="s">
        <v>667</v>
      </c>
      <c r="C330" s="23" t="s">
        <v>458</v>
      </c>
      <c r="D330" s="24" t="s">
        <v>162</v>
      </c>
      <c r="E330" s="27"/>
      <c r="F330" s="27"/>
      <c r="G330" s="25" t="s">
        <v>173</v>
      </c>
      <c r="H330" s="26"/>
      <c r="I330" s="26">
        <v>2400</v>
      </c>
      <c r="J330" s="26"/>
      <c r="K330" s="26"/>
      <c r="L330" s="26"/>
      <c r="M330" s="26"/>
      <c r="N330" s="26"/>
      <c r="O330" s="26"/>
      <c r="P330" s="26"/>
      <c r="Q330" s="26"/>
      <c r="R330" s="26"/>
      <c r="S330" s="26"/>
      <c r="T330" s="26"/>
      <c r="U330" s="26"/>
      <c r="V330" s="26"/>
      <c r="W330" s="26"/>
      <c r="X330" s="26"/>
      <c r="Y330" s="26"/>
      <c r="Z330" s="26"/>
      <c r="AA330" s="26"/>
      <c r="AB330" s="26">
        <f t="shared" si="171"/>
        <v>2400</v>
      </c>
      <c r="AC330" s="46"/>
      <c r="AD330" s="46"/>
      <c r="AE330" s="46"/>
      <c r="AF330" s="26">
        <f>ROUND((AD330+AE330+AC330)*$AF$4,2)</f>
        <v>0</v>
      </c>
      <c r="AG330" s="26">
        <f>ROUND((AD330+AE330+AF330+AC330)*AG$4,2)</f>
        <v>0</v>
      </c>
      <c r="AH330" s="26">
        <f>ROUND((AD330+AE330+AF330+AG330+AC330)*AH$4,2)</f>
        <v>0</v>
      </c>
      <c r="AI330" s="26">
        <f t="shared" si="172"/>
        <v>0</v>
      </c>
      <c r="AJ330" s="26">
        <f t="shared" si="173"/>
        <v>0</v>
      </c>
      <c r="AK330" s="26">
        <f t="shared" si="174"/>
        <v>0</v>
      </c>
      <c r="AL330" s="26">
        <f t="shared" si="175"/>
        <v>0</v>
      </c>
      <c r="AM330" s="24"/>
      <c r="AN330" s="86"/>
      <c r="AO330" s="86"/>
      <c r="AP330" s="50"/>
      <c r="AQ330" s="50"/>
      <c r="AR330" s="50"/>
      <c r="AS330" s="50"/>
      <c r="AT330" s="50"/>
    </row>
    <row r="331" s="1" customFormat="1" ht="30" customHeight="1" outlineLevel="1" spans="1:46">
      <c r="A331" s="21" t="s">
        <v>668</v>
      </c>
      <c r="B331" s="23"/>
      <c r="C331" s="23"/>
      <c r="D331" s="24"/>
      <c r="E331" s="25"/>
      <c r="F331" s="25"/>
      <c r="G331" s="25"/>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16">
        <f>SUM(AK332:AK334)</f>
        <v>0</v>
      </c>
      <c r="AL331" s="16">
        <f>SUM(AL332:AL334)</f>
        <v>0</v>
      </c>
      <c r="AM331" s="25"/>
      <c r="AN331" s="86"/>
      <c r="AO331" s="86"/>
      <c r="AP331" s="50"/>
      <c r="AQ331" s="50"/>
      <c r="AR331" s="50"/>
      <c r="AS331" s="50"/>
      <c r="AT331" s="50"/>
    </row>
    <row r="332" s="1" customFormat="1" ht="48" customHeight="1" outlineLevel="2" spans="1:45">
      <c r="A332" s="25">
        <v>1</v>
      </c>
      <c r="B332" s="23" t="s">
        <v>669</v>
      </c>
      <c r="C332" s="23" t="s">
        <v>670</v>
      </c>
      <c r="D332" s="24" t="s">
        <v>168</v>
      </c>
      <c r="E332" s="27"/>
      <c r="F332" s="27"/>
      <c r="G332" s="25" t="s">
        <v>173</v>
      </c>
      <c r="H332" s="26"/>
      <c r="I332" s="26">
        <v>100</v>
      </c>
      <c r="J332" s="26"/>
      <c r="K332" s="26"/>
      <c r="L332" s="26"/>
      <c r="M332" s="26"/>
      <c r="N332" s="26"/>
      <c r="O332" s="26"/>
      <c r="P332" s="26"/>
      <c r="Q332" s="26"/>
      <c r="R332" s="26"/>
      <c r="S332" s="26"/>
      <c r="T332" s="26"/>
      <c r="U332" s="26"/>
      <c r="V332" s="26"/>
      <c r="W332" s="26"/>
      <c r="X332" s="26"/>
      <c r="Y332" s="26"/>
      <c r="Z332" s="26"/>
      <c r="AA332" s="26"/>
      <c r="AB332" s="26">
        <f t="shared" ref="AB332:AB334" si="176">SUM(H332:AA332)</f>
        <v>100</v>
      </c>
      <c r="AC332" s="46"/>
      <c r="AD332" s="46"/>
      <c r="AE332" s="46"/>
      <c r="AF332" s="26">
        <f>ROUND((AD332+AE332+AC332)*$AF$4,2)</f>
        <v>0</v>
      </c>
      <c r="AG332" s="26">
        <f>ROUND((AD332+AE332+AF332+AC332)*AG$4,2)</f>
        <v>0</v>
      </c>
      <c r="AH332" s="26">
        <f>ROUND((AD332+AE332+AF332+AG332+AC332)*AH$4,2)</f>
        <v>0</v>
      </c>
      <c r="AI332" s="26">
        <f t="shared" ref="AI332:AI334" si="177">ROUND((AD332+AE332+AF332+AG332+AC332),2)</f>
        <v>0</v>
      </c>
      <c r="AJ332" s="26">
        <f t="shared" ref="AJ332:AJ334" si="178">ROUND((AD332+AE332+AF332+AG332+AH332+AC332),2)</f>
        <v>0</v>
      </c>
      <c r="AK332" s="26">
        <f t="shared" ref="AK332:AK334" si="179">ROUND((AI332*AB332),2)</f>
        <v>0</v>
      </c>
      <c r="AL332" s="26">
        <f t="shared" ref="AL332:AL334" si="180">ROUND((AJ332*AB332),2)</f>
        <v>0</v>
      </c>
      <c r="AM332" s="25"/>
      <c r="AN332" s="86"/>
      <c r="AO332" s="9"/>
      <c r="AQ332" s="7"/>
      <c r="AR332" s="7"/>
      <c r="AS332" s="7"/>
    </row>
    <row r="333" s="1" customFormat="1" ht="48" customHeight="1" outlineLevel="2" spans="1:45">
      <c r="A333" s="25">
        <v>2</v>
      </c>
      <c r="B333" s="23" t="s">
        <v>671</v>
      </c>
      <c r="C333" s="23" t="s">
        <v>672</v>
      </c>
      <c r="D333" s="24" t="s">
        <v>162</v>
      </c>
      <c r="E333" s="27"/>
      <c r="F333" s="27"/>
      <c r="G333" s="25" t="s">
        <v>173</v>
      </c>
      <c r="H333" s="26"/>
      <c r="I333" s="26">
        <v>100</v>
      </c>
      <c r="J333" s="26"/>
      <c r="K333" s="26"/>
      <c r="L333" s="26"/>
      <c r="M333" s="26"/>
      <c r="N333" s="26"/>
      <c r="O333" s="26"/>
      <c r="P333" s="26"/>
      <c r="Q333" s="26"/>
      <c r="R333" s="26"/>
      <c r="S333" s="26"/>
      <c r="T333" s="26"/>
      <c r="U333" s="26"/>
      <c r="V333" s="26"/>
      <c r="W333" s="26"/>
      <c r="X333" s="26"/>
      <c r="Y333" s="26"/>
      <c r="Z333" s="26"/>
      <c r="AA333" s="26"/>
      <c r="AB333" s="26">
        <f t="shared" si="176"/>
        <v>100</v>
      </c>
      <c r="AC333" s="46"/>
      <c r="AD333" s="46"/>
      <c r="AE333" s="46"/>
      <c r="AF333" s="26">
        <f>ROUND((AD333+AE333+AC333)*$AF$4,2)</f>
        <v>0</v>
      </c>
      <c r="AG333" s="26">
        <f>ROUND((AD333+AE333+AF333+AC333)*AG$4,2)</f>
        <v>0</v>
      </c>
      <c r="AH333" s="26">
        <f>ROUND((AD333+AE333+AF333+AG333+AC333)*AH$4,2)</f>
        <v>0</v>
      </c>
      <c r="AI333" s="26">
        <f t="shared" si="177"/>
        <v>0</v>
      </c>
      <c r="AJ333" s="26">
        <f t="shared" si="178"/>
        <v>0</v>
      </c>
      <c r="AK333" s="26">
        <f t="shared" si="179"/>
        <v>0</v>
      </c>
      <c r="AL333" s="26">
        <f t="shared" si="180"/>
        <v>0</v>
      </c>
      <c r="AM333" s="25"/>
      <c r="AN333" s="86"/>
      <c r="AO333" s="86"/>
      <c r="AQ333" s="7"/>
      <c r="AR333" s="7"/>
      <c r="AS333" s="7"/>
    </row>
    <row r="334" s="1" customFormat="1" ht="48" customHeight="1" outlineLevel="2" spans="1:48">
      <c r="A334" s="25">
        <v>3</v>
      </c>
      <c r="B334" s="23" t="s">
        <v>673</v>
      </c>
      <c r="C334" s="23" t="s">
        <v>674</v>
      </c>
      <c r="D334" s="24" t="s">
        <v>168</v>
      </c>
      <c r="E334" s="27"/>
      <c r="F334" s="27"/>
      <c r="G334" s="25" t="s">
        <v>173</v>
      </c>
      <c r="H334" s="26"/>
      <c r="I334" s="26"/>
      <c r="J334" s="26"/>
      <c r="K334" s="26"/>
      <c r="L334" s="26"/>
      <c r="M334" s="26"/>
      <c r="N334" s="26"/>
      <c r="O334" s="26"/>
      <c r="P334" s="26"/>
      <c r="Q334" s="26"/>
      <c r="R334" s="26"/>
      <c r="S334" s="26"/>
      <c r="T334" s="26"/>
      <c r="U334" s="26"/>
      <c r="V334" s="26"/>
      <c r="W334" s="26"/>
      <c r="X334" s="26"/>
      <c r="Y334" s="26"/>
      <c r="Z334" s="26"/>
      <c r="AA334" s="26">
        <v>45</v>
      </c>
      <c r="AB334" s="26">
        <f t="shared" si="176"/>
        <v>45</v>
      </c>
      <c r="AC334" s="46"/>
      <c r="AD334" s="46"/>
      <c r="AE334" s="46"/>
      <c r="AF334" s="26">
        <f>ROUND((AD334+AE334+AC334)*$AF$4,2)</f>
        <v>0</v>
      </c>
      <c r="AG334" s="26">
        <f>ROUND((AD334+AE334+AF334+AC334)*AG$4,2)</f>
        <v>0</v>
      </c>
      <c r="AH334" s="26">
        <f>ROUND((AD334+AE334+AF334+AG334+AC334)*AH$4,2)</f>
        <v>0</v>
      </c>
      <c r="AI334" s="26">
        <f t="shared" si="177"/>
        <v>0</v>
      </c>
      <c r="AJ334" s="26">
        <f t="shared" si="178"/>
        <v>0</v>
      </c>
      <c r="AK334" s="26">
        <f t="shared" si="179"/>
        <v>0</v>
      </c>
      <c r="AL334" s="26">
        <f t="shared" si="180"/>
        <v>0</v>
      </c>
      <c r="AM334" s="25"/>
      <c r="AN334" s="86"/>
      <c r="AO334" s="86"/>
      <c r="AQ334" s="7"/>
      <c r="AR334" s="7"/>
      <c r="AS334" s="7"/>
      <c r="AV334" s="86"/>
    </row>
    <row r="335" s="1" customFormat="1" ht="30" customHeight="1" outlineLevel="1" spans="1:45">
      <c r="A335" s="13" t="s">
        <v>176</v>
      </c>
      <c r="B335" s="13" t="s">
        <v>177</v>
      </c>
      <c r="C335" s="36" t="s">
        <v>400</v>
      </c>
      <c r="D335" s="36"/>
      <c r="E335" s="36"/>
      <c r="F335" s="36"/>
      <c r="G335" s="13" t="s">
        <v>179</v>
      </c>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f>AK309+AK312+AK316+AK331</f>
        <v>0</v>
      </c>
      <c r="AL335" s="16">
        <f>AL309+AL312+AL316+AL331</f>
        <v>0</v>
      </c>
      <c r="AM335" s="14"/>
      <c r="AN335" s="50"/>
      <c r="AO335" s="86"/>
      <c r="AQ335" s="7"/>
      <c r="AR335" s="7"/>
      <c r="AS335" s="7"/>
    </row>
    <row r="336" s="1" customFormat="1" ht="37" customHeight="1" spans="1:45">
      <c r="A336" s="17" t="s">
        <v>675</v>
      </c>
      <c r="B336" s="17"/>
      <c r="C336" s="17"/>
      <c r="D336" s="18"/>
      <c r="E336" s="81"/>
      <c r="F336" s="81"/>
      <c r="G336" s="81"/>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5">
        <f>AK339</f>
        <v>0</v>
      </c>
      <c r="AL336" s="85">
        <f>AL339</f>
        <v>0</v>
      </c>
      <c r="AM336" s="81"/>
      <c r="AN336" s="86"/>
      <c r="AO336" s="7"/>
      <c r="AQ336" s="7"/>
      <c r="AR336" s="7"/>
      <c r="AS336" s="7"/>
    </row>
    <row r="337" s="1" customFormat="1" ht="30" customHeight="1" outlineLevel="1" spans="1:45">
      <c r="A337" s="21" t="s">
        <v>301</v>
      </c>
      <c r="B337" s="36"/>
      <c r="C337" s="36"/>
      <c r="D337" s="14"/>
      <c r="E337" s="25"/>
      <c r="F337" s="25"/>
      <c r="G337" s="13"/>
      <c r="H337" s="16"/>
      <c r="I337" s="16"/>
      <c r="J337" s="16"/>
      <c r="K337" s="16"/>
      <c r="L337" s="16"/>
      <c r="M337" s="16"/>
      <c r="N337" s="16"/>
      <c r="O337" s="16"/>
      <c r="P337" s="16"/>
      <c r="Q337" s="16"/>
      <c r="R337" s="16"/>
      <c r="S337" s="16"/>
      <c r="T337" s="16"/>
      <c r="U337" s="16"/>
      <c r="V337" s="16"/>
      <c r="W337" s="16"/>
      <c r="X337" s="16"/>
      <c r="Y337" s="16"/>
      <c r="Z337" s="16"/>
      <c r="AA337" s="16"/>
      <c r="AB337" s="26"/>
      <c r="AC337" s="26"/>
      <c r="AD337" s="26"/>
      <c r="AE337" s="26"/>
      <c r="AF337" s="26"/>
      <c r="AG337" s="26"/>
      <c r="AH337" s="26"/>
      <c r="AI337" s="26"/>
      <c r="AJ337" s="26"/>
      <c r="AK337" s="16">
        <f>SUM(AK338:AK338)</f>
        <v>0</v>
      </c>
      <c r="AL337" s="16">
        <f>SUM(AL338:AL338)</f>
        <v>0</v>
      </c>
      <c r="AM337" s="13"/>
      <c r="AN337" s="50"/>
      <c r="AO337" s="7"/>
      <c r="AQ337" s="7"/>
      <c r="AR337" s="7"/>
      <c r="AS337" s="7"/>
    </row>
    <row r="338" s="1" customFormat="1" ht="48" customHeight="1" outlineLevel="2" spans="1:45">
      <c r="A338" s="72">
        <v>1</v>
      </c>
      <c r="B338" s="23" t="s">
        <v>676</v>
      </c>
      <c r="C338" s="23" t="s">
        <v>677</v>
      </c>
      <c r="D338" s="24" t="s">
        <v>162</v>
      </c>
      <c r="E338" s="25"/>
      <c r="F338" s="25"/>
      <c r="G338" s="25" t="s">
        <v>173</v>
      </c>
      <c r="H338" s="26">
        <f t="shared" ref="H338:AA338" si="181">H239</f>
        <v>2681.739</v>
      </c>
      <c r="I338" s="26">
        <f t="shared" si="181"/>
        <v>3267.282</v>
      </c>
      <c r="J338" s="26">
        <f t="shared" si="181"/>
        <v>3147.285</v>
      </c>
      <c r="K338" s="26">
        <f t="shared" si="181"/>
        <v>2716.299</v>
      </c>
      <c r="L338" s="26">
        <f t="shared" si="181"/>
        <v>2716.299</v>
      </c>
      <c r="M338" s="26">
        <f t="shared" si="181"/>
        <v>3279.198</v>
      </c>
      <c r="N338" s="26">
        <f t="shared" si="181"/>
        <v>2157</v>
      </c>
      <c r="O338" s="26">
        <f t="shared" si="181"/>
        <v>2212.122</v>
      </c>
      <c r="P338" s="26">
        <f t="shared" si="181"/>
        <v>2224.809</v>
      </c>
      <c r="Q338" s="26">
        <f t="shared" si="181"/>
        <v>2251.19</v>
      </c>
      <c r="R338" s="26">
        <f t="shared" si="181"/>
        <v>1857.036</v>
      </c>
      <c r="S338" s="26">
        <f t="shared" si="181"/>
        <v>1170.514</v>
      </c>
      <c r="T338" s="26">
        <f t="shared" si="181"/>
        <v>933.581</v>
      </c>
      <c r="U338" s="26">
        <f t="shared" si="181"/>
        <v>2353.301</v>
      </c>
      <c r="V338" s="26">
        <f t="shared" si="181"/>
        <v>2232.493</v>
      </c>
      <c r="W338" s="26">
        <f t="shared" si="181"/>
        <v>0</v>
      </c>
      <c r="X338" s="26">
        <f t="shared" si="181"/>
        <v>0</v>
      </c>
      <c r="Y338" s="26">
        <f t="shared" si="181"/>
        <v>0</v>
      </c>
      <c r="Z338" s="26">
        <f t="shared" si="181"/>
        <v>0</v>
      </c>
      <c r="AA338" s="26">
        <f t="shared" si="181"/>
        <v>7169.448</v>
      </c>
      <c r="AB338" s="26"/>
      <c r="AC338" s="46"/>
      <c r="AD338" s="46"/>
      <c r="AE338" s="46"/>
      <c r="AF338" s="26">
        <f>ROUND((AD338+AE338+AC338)*$AF$4,2)</f>
        <v>0</v>
      </c>
      <c r="AG338" s="26">
        <f>ROUND((AD338+AE338+AF338+AC338)*AG$4,2)</f>
        <v>0</v>
      </c>
      <c r="AH338" s="26">
        <f>ROUND((AD338+AE338+AF338+AG338+AC338)*AH$4,2)</f>
        <v>0</v>
      </c>
      <c r="AI338" s="26">
        <f t="shared" ref="AI338:AI352" si="182">ROUND((AD338+AE338+AF338+AG338+AC338),2)</f>
        <v>0</v>
      </c>
      <c r="AJ338" s="26">
        <f t="shared" ref="AJ338:AJ352" si="183">ROUND((AD338+AE338+AF338+AG338+AH338+AC338),2)</f>
        <v>0</v>
      </c>
      <c r="AK338" s="26">
        <f t="shared" ref="AK338:AK352" si="184">ROUND((AI338*AB338),2)</f>
        <v>0</v>
      </c>
      <c r="AL338" s="26">
        <f t="shared" ref="AL338:AL352" si="185">ROUND((AJ338*AB338),2)</f>
        <v>0</v>
      </c>
      <c r="AM338" s="24" t="s">
        <v>678</v>
      </c>
      <c r="AN338" s="86"/>
      <c r="AO338" s="7"/>
      <c r="AQ338" s="7"/>
      <c r="AR338" s="7"/>
      <c r="AS338" s="7"/>
    </row>
    <row r="339" s="1" customFormat="1" ht="30" customHeight="1" outlineLevel="1" spans="1:45">
      <c r="A339" s="13" t="s">
        <v>176</v>
      </c>
      <c r="B339" s="13" t="s">
        <v>177</v>
      </c>
      <c r="C339" s="36" t="s">
        <v>305</v>
      </c>
      <c r="D339" s="36"/>
      <c r="E339" s="36"/>
      <c r="F339" s="36"/>
      <c r="G339" s="13"/>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f>AK337</f>
        <v>0</v>
      </c>
      <c r="AL339" s="16">
        <f>AL337</f>
        <v>0</v>
      </c>
      <c r="AM339" s="25"/>
      <c r="AN339" s="50"/>
      <c r="AQ339" s="7"/>
      <c r="AR339" s="7"/>
      <c r="AS339" s="7"/>
    </row>
    <row r="340" s="1" customFormat="1" ht="37" customHeight="1" spans="1:45">
      <c r="A340" s="17" t="s">
        <v>679</v>
      </c>
      <c r="B340" s="17"/>
      <c r="C340" s="17"/>
      <c r="D340" s="18"/>
      <c r="E340" s="81"/>
      <c r="F340" s="81"/>
      <c r="G340" s="81"/>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5">
        <f>AK359</f>
        <v>0</v>
      </c>
      <c r="AL340" s="85">
        <f>AL359</f>
        <v>0</v>
      </c>
      <c r="AM340" s="81"/>
      <c r="AN340" s="50"/>
      <c r="AO340" s="60"/>
      <c r="AP340" s="61"/>
      <c r="AQ340" s="60"/>
      <c r="AR340" s="60"/>
      <c r="AS340" s="60"/>
    </row>
    <row r="341" s="1" customFormat="1" ht="30" customHeight="1" outlineLevel="1" spans="1:45">
      <c r="A341" s="21" t="s">
        <v>680</v>
      </c>
      <c r="B341" s="22"/>
      <c r="C341" s="22"/>
      <c r="D341" s="24"/>
      <c r="E341" s="25"/>
      <c r="F341" s="25"/>
      <c r="G341" s="25"/>
      <c r="H341" s="26"/>
      <c r="I341" s="26"/>
      <c r="J341" s="26"/>
      <c r="K341" s="26"/>
      <c r="L341" s="26"/>
      <c r="M341" s="98"/>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16">
        <f>SUM(AK342:AK352)</f>
        <v>0</v>
      </c>
      <c r="AL341" s="16">
        <f>SUM(AL342:AL352)</f>
        <v>0</v>
      </c>
      <c r="AM341" s="25"/>
      <c r="AN341" s="100"/>
      <c r="AQ341" s="7"/>
      <c r="AR341" s="7"/>
      <c r="AS341" s="7"/>
    </row>
    <row r="342" s="1" customFormat="1" ht="48" customHeight="1" outlineLevel="2" spans="1:46">
      <c r="A342" s="25">
        <v>1</v>
      </c>
      <c r="B342" s="23" t="s">
        <v>681</v>
      </c>
      <c r="C342" s="23" t="s">
        <v>222</v>
      </c>
      <c r="D342" s="24" t="s">
        <v>223</v>
      </c>
      <c r="E342" s="27"/>
      <c r="F342" s="27"/>
      <c r="G342" s="25" t="s">
        <v>146</v>
      </c>
      <c r="H342" s="26"/>
      <c r="I342" s="26"/>
      <c r="J342" s="26"/>
      <c r="K342" s="26"/>
      <c r="L342" s="26"/>
      <c r="M342" s="26"/>
      <c r="N342" s="26"/>
      <c r="O342" s="26"/>
      <c r="P342" s="26"/>
      <c r="Q342" s="26"/>
      <c r="R342" s="26"/>
      <c r="S342" s="26"/>
      <c r="T342" s="26"/>
      <c r="U342" s="26"/>
      <c r="V342" s="26"/>
      <c r="W342" s="26"/>
      <c r="X342" s="26"/>
      <c r="Y342" s="26"/>
      <c r="Z342" s="26"/>
      <c r="AA342" s="26"/>
      <c r="AB342" s="26">
        <v>1</v>
      </c>
      <c r="AC342" s="46"/>
      <c r="AD342" s="46"/>
      <c r="AE342" s="46"/>
      <c r="AF342" s="26">
        <f>ROUND((AD342+AE342+AC342)*$AF$4,2)</f>
        <v>0</v>
      </c>
      <c r="AG342" s="26">
        <f>ROUND((AD342+AE342+AF342+AC342)*AG$4,2)</f>
        <v>0</v>
      </c>
      <c r="AH342" s="26">
        <f>ROUND((AD342+AE342+AF342+AG342+AC342)*AH$4,2)</f>
        <v>0</v>
      </c>
      <c r="AI342" s="26">
        <f t="shared" si="182"/>
        <v>0</v>
      </c>
      <c r="AJ342" s="26">
        <f t="shared" si="183"/>
        <v>0</v>
      </c>
      <c r="AK342" s="26">
        <f t="shared" si="184"/>
        <v>0</v>
      </c>
      <c r="AL342" s="26">
        <f t="shared" si="185"/>
        <v>0</v>
      </c>
      <c r="AM342" s="25"/>
      <c r="AN342" s="86"/>
      <c r="AO342" s="9"/>
      <c r="AP342" s="9"/>
      <c r="AQ342" s="50"/>
      <c r="AR342" s="50"/>
      <c r="AS342" s="50"/>
      <c r="AT342" s="9"/>
    </row>
    <row r="343" s="1" customFormat="1" ht="72" outlineLevel="2" spans="1:46">
      <c r="A343" s="25">
        <v>2</v>
      </c>
      <c r="B343" s="23" t="s">
        <v>682</v>
      </c>
      <c r="C343" s="23" t="s">
        <v>683</v>
      </c>
      <c r="D343" s="24" t="s">
        <v>684</v>
      </c>
      <c r="E343" s="27"/>
      <c r="F343" s="27"/>
      <c r="G343" s="25" t="s">
        <v>146</v>
      </c>
      <c r="H343" s="26"/>
      <c r="I343" s="26"/>
      <c r="J343" s="26"/>
      <c r="K343" s="26"/>
      <c r="L343" s="26"/>
      <c r="M343" s="26"/>
      <c r="N343" s="26"/>
      <c r="O343" s="26"/>
      <c r="P343" s="26"/>
      <c r="Q343" s="26"/>
      <c r="R343" s="26"/>
      <c r="S343" s="26"/>
      <c r="T343" s="26"/>
      <c r="U343" s="26"/>
      <c r="V343" s="26"/>
      <c r="W343" s="26"/>
      <c r="X343" s="26"/>
      <c r="Y343" s="26"/>
      <c r="Z343" s="26"/>
      <c r="AA343" s="26"/>
      <c r="AB343" s="26">
        <v>1</v>
      </c>
      <c r="AC343" s="46"/>
      <c r="AD343" s="46"/>
      <c r="AE343" s="46"/>
      <c r="AF343" s="26">
        <f>ROUND((AD343+AE343+AC343)*$AF$4,2)</f>
        <v>0</v>
      </c>
      <c r="AG343" s="26">
        <f>ROUND((AD343+AE343+AF343+AC343)*AG$4,2)</f>
        <v>0</v>
      </c>
      <c r="AH343" s="26">
        <f>ROUND((AD343+AE343+AF343+AG343+AC343)*AH$4,2)</f>
        <v>0</v>
      </c>
      <c r="AI343" s="26">
        <f t="shared" si="182"/>
        <v>0</v>
      </c>
      <c r="AJ343" s="26">
        <f t="shared" si="183"/>
        <v>0</v>
      </c>
      <c r="AK343" s="26">
        <f t="shared" si="184"/>
        <v>0</v>
      </c>
      <c r="AL343" s="26">
        <f t="shared" si="185"/>
        <v>0</v>
      </c>
      <c r="AM343" s="25"/>
      <c r="AN343" s="86"/>
      <c r="AP343" s="50"/>
      <c r="AQ343" s="50"/>
      <c r="AR343" s="50"/>
      <c r="AS343" s="50"/>
      <c r="AT343" s="50"/>
    </row>
    <row r="344" s="1" customFormat="1" ht="204" outlineLevel="2" spans="1:46">
      <c r="A344" s="25">
        <v>3</v>
      </c>
      <c r="B344" s="23" t="s">
        <v>685</v>
      </c>
      <c r="C344" s="23" t="s">
        <v>686</v>
      </c>
      <c r="D344" s="24" t="s">
        <v>684</v>
      </c>
      <c r="E344" s="27"/>
      <c r="F344" s="27"/>
      <c r="G344" s="25" t="s">
        <v>146</v>
      </c>
      <c r="H344" s="26">
        <v>1</v>
      </c>
      <c r="I344" s="26">
        <v>1</v>
      </c>
      <c r="J344" s="26">
        <v>1</v>
      </c>
      <c r="K344" s="26">
        <v>1</v>
      </c>
      <c r="L344" s="26">
        <v>1</v>
      </c>
      <c r="M344" s="26">
        <v>1</v>
      </c>
      <c r="N344" s="26">
        <v>1</v>
      </c>
      <c r="O344" s="26">
        <v>1</v>
      </c>
      <c r="P344" s="26">
        <v>1</v>
      </c>
      <c r="Q344" s="26">
        <v>1</v>
      </c>
      <c r="R344" s="26">
        <v>1</v>
      </c>
      <c r="S344" s="26">
        <v>1</v>
      </c>
      <c r="T344" s="26">
        <v>1</v>
      </c>
      <c r="U344" s="26">
        <v>1</v>
      </c>
      <c r="V344" s="26">
        <v>1</v>
      </c>
      <c r="W344" s="26"/>
      <c r="X344" s="26"/>
      <c r="Y344" s="26"/>
      <c r="Z344" s="26">
        <v>1</v>
      </c>
      <c r="AA344" s="26"/>
      <c r="AB344" s="26">
        <f t="shared" ref="AB344:AB346" si="186">SUM(H344:AA344)</f>
        <v>16</v>
      </c>
      <c r="AC344" s="46"/>
      <c r="AD344" s="46"/>
      <c r="AE344" s="46"/>
      <c r="AF344" s="26">
        <f>ROUND((AD344+AE344+AC344)*$AF$4,2)</f>
        <v>0</v>
      </c>
      <c r="AG344" s="26">
        <f>ROUND((AD344+AE344+AF344+AC344)*AG$4,2)</f>
        <v>0</v>
      </c>
      <c r="AH344" s="26">
        <f>ROUND((AD344+AE344+AF344+AG344+AC344)*AH$4,2)</f>
        <v>0</v>
      </c>
      <c r="AI344" s="26">
        <f t="shared" si="182"/>
        <v>0</v>
      </c>
      <c r="AJ344" s="26">
        <f t="shared" si="183"/>
        <v>0</v>
      </c>
      <c r="AK344" s="26">
        <f t="shared" si="184"/>
        <v>0</v>
      </c>
      <c r="AL344" s="26">
        <f t="shared" si="185"/>
        <v>0</v>
      </c>
      <c r="AM344" s="23"/>
      <c r="AN344" s="86"/>
      <c r="AO344" s="50"/>
      <c r="AP344" s="50"/>
      <c r="AQ344" s="50"/>
      <c r="AR344" s="50"/>
      <c r="AS344" s="50"/>
      <c r="AT344" s="50"/>
    </row>
    <row r="345" s="1" customFormat="1" ht="48" customHeight="1" outlineLevel="2" spans="1:46">
      <c r="A345" s="25">
        <v>4</v>
      </c>
      <c r="B345" s="23" t="s">
        <v>687</v>
      </c>
      <c r="C345" s="23" t="s">
        <v>688</v>
      </c>
      <c r="D345" s="24" t="s">
        <v>684</v>
      </c>
      <c r="E345" s="27"/>
      <c r="F345" s="27"/>
      <c r="G345" s="25" t="s">
        <v>134</v>
      </c>
      <c r="H345" s="26"/>
      <c r="I345" s="26"/>
      <c r="J345" s="26"/>
      <c r="K345" s="26">
        <v>1</v>
      </c>
      <c r="L345" s="26"/>
      <c r="M345" s="26"/>
      <c r="N345" s="26"/>
      <c r="O345" s="26"/>
      <c r="P345" s="26"/>
      <c r="Q345" s="26"/>
      <c r="R345" s="26"/>
      <c r="S345" s="26"/>
      <c r="T345" s="26"/>
      <c r="U345" s="26"/>
      <c r="V345" s="26"/>
      <c r="W345" s="26"/>
      <c r="X345" s="26"/>
      <c r="Y345" s="26"/>
      <c r="Z345" s="26"/>
      <c r="AA345" s="26"/>
      <c r="AB345" s="26">
        <f t="shared" si="186"/>
        <v>1</v>
      </c>
      <c r="AC345" s="46"/>
      <c r="AD345" s="46"/>
      <c r="AE345" s="46"/>
      <c r="AF345" s="26">
        <f>ROUND((AD345+AE345+AC345)*$AF$4,2)</f>
        <v>0</v>
      </c>
      <c r="AG345" s="26">
        <f>ROUND((AD345+AE345+AF345+AC345)*AG$4,2)</f>
        <v>0</v>
      </c>
      <c r="AH345" s="26">
        <f>ROUND((AD345+AE345+AF345+AG345+AC345)*AH$4,2)</f>
        <v>0</v>
      </c>
      <c r="AI345" s="26">
        <f t="shared" si="182"/>
        <v>0</v>
      </c>
      <c r="AJ345" s="26">
        <f t="shared" si="183"/>
        <v>0</v>
      </c>
      <c r="AK345" s="26">
        <f t="shared" si="184"/>
        <v>0</v>
      </c>
      <c r="AL345" s="26">
        <f t="shared" si="185"/>
        <v>0</v>
      </c>
      <c r="AM345" s="23"/>
      <c r="AN345" s="86"/>
      <c r="AO345" s="50"/>
      <c r="AP345" s="50"/>
      <c r="AQ345" s="50"/>
      <c r="AR345" s="50"/>
      <c r="AS345" s="50"/>
      <c r="AT345" s="50"/>
    </row>
    <row r="346" s="1" customFormat="1" ht="240" outlineLevel="2" spans="1:46">
      <c r="A346" s="25">
        <v>5</v>
      </c>
      <c r="B346" s="23" t="s">
        <v>689</v>
      </c>
      <c r="C346" s="23" t="s">
        <v>690</v>
      </c>
      <c r="D346" s="24" t="s">
        <v>684</v>
      </c>
      <c r="E346" s="27"/>
      <c r="F346" s="27"/>
      <c r="G346" s="25" t="s">
        <v>134</v>
      </c>
      <c r="H346" s="26"/>
      <c r="I346" s="26"/>
      <c r="J346" s="26"/>
      <c r="K346" s="26"/>
      <c r="L346" s="26"/>
      <c r="M346" s="26"/>
      <c r="N346" s="26"/>
      <c r="O346" s="26"/>
      <c r="P346" s="26"/>
      <c r="Q346" s="26"/>
      <c r="R346" s="26"/>
      <c r="S346" s="26"/>
      <c r="T346" s="26"/>
      <c r="U346" s="26"/>
      <c r="V346" s="26"/>
      <c r="W346" s="26"/>
      <c r="X346" s="26"/>
      <c r="Y346" s="26"/>
      <c r="Z346" s="26">
        <v>1</v>
      </c>
      <c r="AA346" s="26"/>
      <c r="AB346" s="26">
        <f t="shared" si="186"/>
        <v>1</v>
      </c>
      <c r="AC346" s="46"/>
      <c r="AD346" s="46"/>
      <c r="AE346" s="46"/>
      <c r="AF346" s="26">
        <f>ROUND((AD346+AE346+AC346)*$AF$4,2)</f>
        <v>0</v>
      </c>
      <c r="AG346" s="26">
        <f>ROUND((AD346+AE346+AF346+AC346)*AG$4,2)</f>
        <v>0</v>
      </c>
      <c r="AH346" s="26">
        <f>ROUND((AD346+AE346+AF346+AG346+AC346)*AH$4,2)</f>
        <v>0</v>
      </c>
      <c r="AI346" s="26">
        <f t="shared" si="182"/>
        <v>0</v>
      </c>
      <c r="AJ346" s="26">
        <f t="shared" si="183"/>
        <v>0</v>
      </c>
      <c r="AK346" s="26">
        <f t="shared" si="184"/>
        <v>0</v>
      </c>
      <c r="AL346" s="26">
        <f t="shared" si="185"/>
        <v>0</v>
      </c>
      <c r="AM346" s="23"/>
      <c r="AN346" s="86"/>
      <c r="AO346" s="50"/>
      <c r="AP346" s="50"/>
      <c r="AQ346" s="50"/>
      <c r="AR346" s="50"/>
      <c r="AS346" s="50"/>
      <c r="AT346" s="50"/>
    </row>
    <row r="347" s="1" customFormat="1" ht="48" customHeight="1" outlineLevel="2" spans="1:46">
      <c r="A347" s="25">
        <v>6</v>
      </c>
      <c r="B347" s="23" t="s">
        <v>206</v>
      </c>
      <c r="C347" s="23" t="s">
        <v>691</v>
      </c>
      <c r="D347" s="24" t="s">
        <v>692</v>
      </c>
      <c r="E347" s="27"/>
      <c r="F347" s="27"/>
      <c r="G347" s="25" t="s">
        <v>146</v>
      </c>
      <c r="H347" s="26"/>
      <c r="I347" s="26"/>
      <c r="J347" s="26"/>
      <c r="K347" s="26"/>
      <c r="L347" s="26"/>
      <c r="M347" s="26"/>
      <c r="N347" s="26"/>
      <c r="O347" s="26"/>
      <c r="P347" s="26"/>
      <c r="Q347" s="26"/>
      <c r="R347" s="26"/>
      <c r="S347" s="26"/>
      <c r="T347" s="26"/>
      <c r="U347" s="26"/>
      <c r="V347" s="26"/>
      <c r="W347" s="26"/>
      <c r="X347" s="26"/>
      <c r="Y347" s="26"/>
      <c r="Z347" s="26"/>
      <c r="AA347" s="26"/>
      <c r="AB347" s="26">
        <v>1</v>
      </c>
      <c r="AC347" s="46"/>
      <c r="AD347" s="46"/>
      <c r="AE347" s="46"/>
      <c r="AF347" s="26">
        <f>ROUND((AD347+AE347+AC347)*$AF$4,2)</f>
        <v>0</v>
      </c>
      <c r="AG347" s="26">
        <f>ROUND((AD347+AE347+AF347+AC347)*AG$4,2)</f>
        <v>0</v>
      </c>
      <c r="AH347" s="26">
        <f>ROUND((AD347+AE347+AF347+AG347+AC347)*AH$4,2)</f>
        <v>0</v>
      </c>
      <c r="AI347" s="26">
        <f t="shared" si="182"/>
        <v>0</v>
      </c>
      <c r="AJ347" s="26">
        <f t="shared" si="183"/>
        <v>0</v>
      </c>
      <c r="AK347" s="26">
        <f t="shared" si="184"/>
        <v>0</v>
      </c>
      <c r="AL347" s="26">
        <f t="shared" si="185"/>
        <v>0</v>
      </c>
      <c r="AM347" s="23"/>
      <c r="AN347" s="86"/>
      <c r="AO347" s="50"/>
      <c r="AP347" s="50"/>
      <c r="AQ347" s="50"/>
      <c r="AR347" s="50"/>
      <c r="AS347" s="50"/>
      <c r="AT347" s="50"/>
    </row>
    <row r="348" s="1" customFormat="1" ht="48" customHeight="1" outlineLevel="2" spans="1:46">
      <c r="A348" s="25">
        <v>7</v>
      </c>
      <c r="B348" s="23" t="s">
        <v>693</v>
      </c>
      <c r="C348" s="23" t="s">
        <v>694</v>
      </c>
      <c r="D348" s="24" t="s">
        <v>692</v>
      </c>
      <c r="E348" s="27"/>
      <c r="F348" s="27"/>
      <c r="G348" s="25" t="s">
        <v>146</v>
      </c>
      <c r="H348" s="26"/>
      <c r="I348" s="26"/>
      <c r="J348" s="26"/>
      <c r="K348" s="26"/>
      <c r="L348" s="26"/>
      <c r="M348" s="26"/>
      <c r="N348" s="26"/>
      <c r="O348" s="26"/>
      <c r="P348" s="26"/>
      <c r="Q348" s="26"/>
      <c r="R348" s="26"/>
      <c r="S348" s="26"/>
      <c r="T348" s="26"/>
      <c r="U348" s="26"/>
      <c r="V348" s="26"/>
      <c r="W348" s="26"/>
      <c r="X348" s="26"/>
      <c r="Y348" s="26"/>
      <c r="Z348" s="26"/>
      <c r="AA348" s="26"/>
      <c r="AB348" s="26">
        <v>1</v>
      </c>
      <c r="AC348" s="46"/>
      <c r="AD348" s="46"/>
      <c r="AE348" s="46"/>
      <c r="AF348" s="26">
        <f>ROUND((AD348+AE348+AC348)*$AF$4,2)</f>
        <v>0</v>
      </c>
      <c r="AG348" s="26">
        <f>ROUND((AD348+AE348+AF348+AC348)*AG$4,2)</f>
        <v>0</v>
      </c>
      <c r="AH348" s="26">
        <f>ROUND((AD348+AE348+AF348+AG348+AC348)*AH$4,2)</f>
        <v>0</v>
      </c>
      <c r="AI348" s="26">
        <f t="shared" si="182"/>
        <v>0</v>
      </c>
      <c r="AJ348" s="26">
        <f t="shared" si="183"/>
        <v>0</v>
      </c>
      <c r="AK348" s="26">
        <f t="shared" si="184"/>
        <v>0</v>
      </c>
      <c r="AL348" s="26">
        <f t="shared" si="185"/>
        <v>0</v>
      </c>
      <c r="AM348" s="23"/>
      <c r="AN348" s="86"/>
      <c r="AO348" s="50"/>
      <c r="AP348" s="50"/>
      <c r="AQ348" s="50"/>
      <c r="AR348" s="50"/>
      <c r="AS348" s="50"/>
      <c r="AT348" s="50"/>
    </row>
    <row r="349" s="1" customFormat="1" ht="48" customHeight="1" outlineLevel="2" spans="1:46">
      <c r="A349" s="25">
        <v>8</v>
      </c>
      <c r="B349" s="23" t="s">
        <v>695</v>
      </c>
      <c r="C349" s="23" t="s">
        <v>696</v>
      </c>
      <c r="D349" s="24" t="s">
        <v>692</v>
      </c>
      <c r="E349" s="27"/>
      <c r="F349" s="27"/>
      <c r="G349" s="25" t="s">
        <v>146</v>
      </c>
      <c r="H349" s="26"/>
      <c r="I349" s="26"/>
      <c r="J349" s="26"/>
      <c r="K349" s="26"/>
      <c r="L349" s="26"/>
      <c r="M349" s="26"/>
      <c r="N349" s="26"/>
      <c r="O349" s="26"/>
      <c r="P349" s="26"/>
      <c r="Q349" s="26"/>
      <c r="R349" s="26"/>
      <c r="S349" s="26"/>
      <c r="T349" s="26"/>
      <c r="U349" s="26"/>
      <c r="V349" s="26"/>
      <c r="W349" s="26"/>
      <c r="X349" s="26"/>
      <c r="Y349" s="26"/>
      <c r="Z349" s="26"/>
      <c r="AA349" s="26"/>
      <c r="AB349" s="26">
        <v>1</v>
      </c>
      <c r="AC349" s="46"/>
      <c r="AD349" s="46"/>
      <c r="AE349" s="46"/>
      <c r="AF349" s="26">
        <f>ROUND((AD349+AE349+AC349)*$AF$4,2)</f>
        <v>0</v>
      </c>
      <c r="AG349" s="26">
        <f>ROUND((AD349+AE349+AF349+AC349)*AG$4,2)</f>
        <v>0</v>
      </c>
      <c r="AH349" s="26">
        <f>ROUND((AD349+AE349+AF349+AG349+AC349)*AH$4,2)</f>
        <v>0</v>
      </c>
      <c r="AI349" s="26">
        <f t="shared" si="182"/>
        <v>0</v>
      </c>
      <c r="AJ349" s="26">
        <f t="shared" si="183"/>
        <v>0</v>
      </c>
      <c r="AK349" s="26">
        <f t="shared" si="184"/>
        <v>0</v>
      </c>
      <c r="AL349" s="26">
        <f t="shared" si="185"/>
        <v>0</v>
      </c>
      <c r="AM349" s="23"/>
      <c r="AN349" s="86"/>
      <c r="AO349" s="50"/>
      <c r="AP349" s="50"/>
      <c r="AQ349" s="50"/>
      <c r="AR349" s="50"/>
      <c r="AS349" s="50"/>
      <c r="AT349" s="50"/>
    </row>
    <row r="350" s="1" customFormat="1" ht="48" customHeight="1" outlineLevel="2" spans="1:45">
      <c r="A350" s="25">
        <v>9</v>
      </c>
      <c r="B350" s="39" t="s">
        <v>697</v>
      </c>
      <c r="C350" s="39" t="s">
        <v>698</v>
      </c>
      <c r="D350" s="24" t="s">
        <v>699</v>
      </c>
      <c r="E350" s="27"/>
      <c r="F350" s="27"/>
      <c r="G350" s="72" t="s">
        <v>191</v>
      </c>
      <c r="H350" s="92">
        <f t="shared" ref="H350:V350" si="187">H344</f>
        <v>1</v>
      </c>
      <c r="I350" s="92">
        <f t="shared" si="187"/>
        <v>1</v>
      </c>
      <c r="J350" s="92">
        <f t="shared" si="187"/>
        <v>1</v>
      </c>
      <c r="K350" s="92">
        <f t="shared" si="187"/>
        <v>1</v>
      </c>
      <c r="L350" s="92">
        <f t="shared" si="187"/>
        <v>1</v>
      </c>
      <c r="M350" s="92">
        <f t="shared" si="187"/>
        <v>1</v>
      </c>
      <c r="N350" s="92">
        <f t="shared" si="187"/>
        <v>1</v>
      </c>
      <c r="O350" s="92">
        <f t="shared" si="187"/>
        <v>1</v>
      </c>
      <c r="P350" s="92">
        <f t="shared" si="187"/>
        <v>1</v>
      </c>
      <c r="Q350" s="92">
        <f t="shared" si="187"/>
        <v>1</v>
      </c>
      <c r="R350" s="92">
        <f t="shared" si="187"/>
        <v>1</v>
      </c>
      <c r="S350" s="92">
        <f t="shared" si="187"/>
        <v>1</v>
      </c>
      <c r="T350" s="92">
        <f t="shared" si="187"/>
        <v>1</v>
      </c>
      <c r="U350" s="92">
        <f t="shared" si="187"/>
        <v>1</v>
      </c>
      <c r="V350" s="92">
        <f t="shared" si="187"/>
        <v>1</v>
      </c>
      <c r="W350" s="26"/>
      <c r="X350" s="26"/>
      <c r="Y350" s="26"/>
      <c r="Z350" s="26">
        <v>1</v>
      </c>
      <c r="AA350" s="26"/>
      <c r="AB350" s="26">
        <f t="shared" ref="AB350:AB356" si="188">SUM(H350:AA350)</f>
        <v>16</v>
      </c>
      <c r="AC350" s="46"/>
      <c r="AD350" s="46"/>
      <c r="AE350" s="46"/>
      <c r="AF350" s="26">
        <f>ROUND((AD350+AE350+AC350)*$AF$4,2)</f>
        <v>0</v>
      </c>
      <c r="AG350" s="26">
        <f>ROUND((AD350+AE350+AF350+AC350)*AG$4,2)</f>
        <v>0</v>
      </c>
      <c r="AH350" s="26">
        <f>ROUND((AD350+AE350+AF350+AG350+AC350)*AH$4,2)</f>
        <v>0</v>
      </c>
      <c r="AI350" s="26">
        <f t="shared" si="182"/>
        <v>0</v>
      </c>
      <c r="AJ350" s="26">
        <f t="shared" si="183"/>
        <v>0</v>
      </c>
      <c r="AK350" s="26">
        <f t="shared" si="184"/>
        <v>0</v>
      </c>
      <c r="AL350" s="26">
        <f t="shared" si="185"/>
        <v>0</v>
      </c>
      <c r="AM350" s="25"/>
      <c r="AN350" s="86"/>
      <c r="AQ350" s="7"/>
      <c r="AR350" s="7"/>
      <c r="AS350" s="7"/>
    </row>
    <row r="351" s="1" customFormat="1" ht="48" customHeight="1" outlineLevel="2" spans="1:45">
      <c r="A351" s="25">
        <v>10</v>
      </c>
      <c r="B351" s="39" t="s">
        <v>700</v>
      </c>
      <c r="C351" s="39" t="s">
        <v>701</v>
      </c>
      <c r="D351" s="24" t="s">
        <v>699</v>
      </c>
      <c r="E351" s="27"/>
      <c r="F351" s="27"/>
      <c r="G351" s="72" t="s">
        <v>191</v>
      </c>
      <c r="H351" s="92">
        <f t="shared" ref="H351:V351" si="189">H350</f>
        <v>1</v>
      </c>
      <c r="I351" s="92">
        <f t="shared" si="189"/>
        <v>1</v>
      </c>
      <c r="J351" s="92">
        <f t="shared" si="189"/>
        <v>1</v>
      </c>
      <c r="K351" s="92">
        <f t="shared" si="189"/>
        <v>1</v>
      </c>
      <c r="L351" s="92">
        <f t="shared" si="189"/>
        <v>1</v>
      </c>
      <c r="M351" s="92">
        <f t="shared" si="189"/>
        <v>1</v>
      </c>
      <c r="N351" s="92">
        <f t="shared" si="189"/>
        <v>1</v>
      </c>
      <c r="O351" s="92">
        <f t="shared" si="189"/>
        <v>1</v>
      </c>
      <c r="P351" s="92">
        <f t="shared" si="189"/>
        <v>1</v>
      </c>
      <c r="Q351" s="92">
        <f t="shared" si="189"/>
        <v>1</v>
      </c>
      <c r="R351" s="92">
        <f t="shared" si="189"/>
        <v>1</v>
      </c>
      <c r="S351" s="92">
        <f t="shared" si="189"/>
        <v>1</v>
      </c>
      <c r="T351" s="92">
        <f t="shared" si="189"/>
        <v>1</v>
      </c>
      <c r="U351" s="92">
        <f t="shared" si="189"/>
        <v>1</v>
      </c>
      <c r="V351" s="92">
        <f t="shared" si="189"/>
        <v>1</v>
      </c>
      <c r="W351" s="26"/>
      <c r="X351" s="26"/>
      <c r="Y351" s="26"/>
      <c r="Z351" s="26">
        <v>1</v>
      </c>
      <c r="AA351" s="26"/>
      <c r="AB351" s="26">
        <f t="shared" si="188"/>
        <v>16</v>
      </c>
      <c r="AC351" s="46"/>
      <c r="AD351" s="46"/>
      <c r="AE351" s="46"/>
      <c r="AF351" s="26">
        <f>ROUND((AD351+AE351+AC351)*$AF$4,2)</f>
        <v>0</v>
      </c>
      <c r="AG351" s="26">
        <f>ROUND((AD351+AE351+AF351+AC351)*AG$4,2)</f>
        <v>0</v>
      </c>
      <c r="AH351" s="26">
        <f>ROUND((AD351+AE351+AF351+AG351+AC351)*AH$4,2)</f>
        <v>0</v>
      </c>
      <c r="AI351" s="26">
        <f t="shared" si="182"/>
        <v>0</v>
      </c>
      <c r="AJ351" s="26">
        <f t="shared" si="183"/>
        <v>0</v>
      </c>
      <c r="AK351" s="26">
        <f t="shared" si="184"/>
        <v>0</v>
      </c>
      <c r="AL351" s="26">
        <f t="shared" si="185"/>
        <v>0</v>
      </c>
      <c r="AM351" s="25"/>
      <c r="AN351" s="86"/>
      <c r="AQ351" s="7"/>
      <c r="AR351" s="7"/>
      <c r="AS351" s="7"/>
    </row>
    <row r="352" s="1" customFormat="1" ht="48" outlineLevel="2" spans="1:45">
      <c r="A352" s="25">
        <v>11</v>
      </c>
      <c r="B352" s="39" t="s">
        <v>239</v>
      </c>
      <c r="C352" s="39" t="s">
        <v>702</v>
      </c>
      <c r="D352" s="24" t="s">
        <v>684</v>
      </c>
      <c r="E352" s="27"/>
      <c r="F352" s="27"/>
      <c r="G352" s="72" t="s">
        <v>146</v>
      </c>
      <c r="H352" s="92"/>
      <c r="I352" s="26"/>
      <c r="J352" s="26"/>
      <c r="K352" s="26"/>
      <c r="L352" s="26"/>
      <c r="M352" s="26"/>
      <c r="N352" s="26"/>
      <c r="O352" s="26"/>
      <c r="P352" s="26"/>
      <c r="Q352" s="26"/>
      <c r="R352" s="26"/>
      <c r="S352" s="26"/>
      <c r="T352" s="26"/>
      <c r="U352" s="26"/>
      <c r="V352" s="26"/>
      <c r="W352" s="26"/>
      <c r="X352" s="26"/>
      <c r="Y352" s="26"/>
      <c r="Z352" s="26"/>
      <c r="AA352" s="26"/>
      <c r="AB352" s="26">
        <v>1</v>
      </c>
      <c r="AC352" s="46"/>
      <c r="AD352" s="46"/>
      <c r="AE352" s="46"/>
      <c r="AF352" s="26">
        <f>ROUND((AD352+AE352+AC352)*$AF$4,2)</f>
        <v>0</v>
      </c>
      <c r="AG352" s="26">
        <f>ROUND((AD352+AE352+AF352+AC352)*AG$4,2)</f>
        <v>0</v>
      </c>
      <c r="AH352" s="26">
        <f>ROUND((AD352+AE352+AF352+AG352+AC352)*AH$4,2)</f>
        <v>0</v>
      </c>
      <c r="AI352" s="26">
        <f t="shared" si="182"/>
        <v>0</v>
      </c>
      <c r="AJ352" s="26">
        <f t="shared" si="183"/>
        <v>0</v>
      </c>
      <c r="AK352" s="26">
        <f t="shared" si="184"/>
        <v>0</v>
      </c>
      <c r="AL352" s="26">
        <f t="shared" si="185"/>
        <v>0</v>
      </c>
      <c r="AM352" s="25"/>
      <c r="AN352" s="86"/>
      <c r="AO352" s="50"/>
      <c r="AP352" s="50"/>
      <c r="AQ352" s="7"/>
      <c r="AR352" s="7"/>
      <c r="AS352" s="7"/>
    </row>
    <row r="353" s="1" customFormat="1" ht="30" customHeight="1" outlineLevel="1" spans="1:45">
      <c r="A353" s="21" t="s">
        <v>703</v>
      </c>
      <c r="B353" s="22"/>
      <c r="C353" s="22"/>
      <c r="D353" s="24"/>
      <c r="E353" s="25"/>
      <c r="F353" s="25"/>
      <c r="G353" s="25"/>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16">
        <f>SUM(AK354:AK358)</f>
        <v>0</v>
      </c>
      <c r="AL353" s="16">
        <f>SUM(AL354:AL358)</f>
        <v>0</v>
      </c>
      <c r="AM353" s="25"/>
      <c r="AN353" s="100"/>
      <c r="AQ353" s="7"/>
      <c r="AR353" s="7"/>
      <c r="AS353" s="7"/>
    </row>
    <row r="354" s="1" customFormat="1" ht="48" customHeight="1" outlineLevel="2" spans="1:46">
      <c r="A354" s="25">
        <v>1</v>
      </c>
      <c r="B354" s="23" t="s">
        <v>171</v>
      </c>
      <c r="C354" s="22" t="s">
        <v>242</v>
      </c>
      <c r="D354" s="24" t="s">
        <v>162</v>
      </c>
      <c r="E354" s="27"/>
      <c r="F354" s="27"/>
      <c r="G354" s="25" t="s">
        <v>173</v>
      </c>
      <c r="H354" s="26">
        <v>12.385</v>
      </c>
      <c r="I354" s="26">
        <v>12.925</v>
      </c>
      <c r="J354" s="26">
        <v>12.274</v>
      </c>
      <c r="K354" s="26">
        <v>13.648</v>
      </c>
      <c r="L354" s="26">
        <f>K354</f>
        <v>13.648</v>
      </c>
      <c r="M354" s="26">
        <v>12.652</v>
      </c>
      <c r="N354" s="26">
        <v>11.027</v>
      </c>
      <c r="O354" s="26">
        <v>12.558</v>
      </c>
      <c r="P354" s="26">
        <v>11.682</v>
      </c>
      <c r="Q354" s="26">
        <v>11.089</v>
      </c>
      <c r="R354" s="26">
        <v>11.034</v>
      </c>
      <c r="S354" s="26">
        <v>12.709</v>
      </c>
      <c r="T354" s="26">
        <v>12.704</v>
      </c>
      <c r="U354" s="26">
        <v>12.47</v>
      </c>
      <c r="V354" s="26">
        <v>11.483</v>
      </c>
      <c r="W354" s="26"/>
      <c r="X354" s="26"/>
      <c r="Y354" s="26"/>
      <c r="Z354" s="26">
        <f>305-189.53+20</f>
        <v>135.47</v>
      </c>
      <c r="AA354" s="26"/>
      <c r="AB354" s="26">
        <f t="shared" si="188"/>
        <v>319.758</v>
      </c>
      <c r="AC354" s="46"/>
      <c r="AD354" s="46"/>
      <c r="AE354" s="46"/>
      <c r="AF354" s="26">
        <f>ROUND((AD354+AE354+AC354)*$AF$4,2)</f>
        <v>0</v>
      </c>
      <c r="AG354" s="26">
        <f>ROUND((AD354+AE354+AF354+AC354)*AG$4,2)</f>
        <v>0</v>
      </c>
      <c r="AH354" s="26">
        <f>ROUND((AD354+AE354+AF354+AG354+AC354)*AH$4,2)</f>
        <v>0</v>
      </c>
      <c r="AI354" s="26">
        <f t="shared" ref="AI354:AI358" si="190">ROUND((AD354+AE354+AF354+AG354+AC354),2)</f>
        <v>0</v>
      </c>
      <c r="AJ354" s="26">
        <f t="shared" ref="AJ354:AJ358" si="191">ROUND((AD354+AE354+AF354+AG354+AH354+AC354),2)</f>
        <v>0</v>
      </c>
      <c r="AK354" s="26">
        <f t="shared" ref="AK354:AK358" si="192">ROUND((AI354*AB354),2)</f>
        <v>0</v>
      </c>
      <c r="AL354" s="26">
        <f t="shared" ref="AL354:AL358" si="193">ROUND((AJ354*AB354),2)</f>
        <v>0</v>
      </c>
      <c r="AM354" s="25"/>
      <c r="AN354" s="86"/>
      <c r="AO354" s="50"/>
      <c r="AP354" s="50"/>
      <c r="AQ354" s="50"/>
      <c r="AR354" s="50"/>
      <c r="AS354" s="50"/>
      <c r="AT354" s="50"/>
    </row>
    <row r="355" s="1" customFormat="1" ht="48" customHeight="1" outlineLevel="2" spans="1:46">
      <c r="A355" s="25">
        <v>2</v>
      </c>
      <c r="B355" s="23" t="s">
        <v>704</v>
      </c>
      <c r="C355" s="22" t="s">
        <v>705</v>
      </c>
      <c r="D355" s="24" t="s">
        <v>162</v>
      </c>
      <c r="E355" s="27"/>
      <c r="F355" s="27"/>
      <c r="G355" s="25" t="s">
        <v>173</v>
      </c>
      <c r="H355" s="26">
        <v>6.283</v>
      </c>
      <c r="I355" s="26">
        <v>6.533</v>
      </c>
      <c r="J355" s="26">
        <v>6.203</v>
      </c>
      <c r="K355" s="26">
        <v>8.345</v>
      </c>
      <c r="L355" s="26">
        <f>K355</f>
        <v>8.345</v>
      </c>
      <c r="M355" s="26">
        <v>6.233</v>
      </c>
      <c r="N355" s="26">
        <v>5.719</v>
      </c>
      <c r="O355" s="26">
        <v>6.37</v>
      </c>
      <c r="P355" s="26">
        <v>6.111</v>
      </c>
      <c r="Q355" s="26">
        <v>5.571</v>
      </c>
      <c r="R355" s="26">
        <v>5.757</v>
      </c>
      <c r="S355" s="26">
        <v>6.465</v>
      </c>
      <c r="T355" s="26">
        <v>6.377</v>
      </c>
      <c r="U355" s="26">
        <v>6.185</v>
      </c>
      <c r="V355" s="26">
        <v>5.814</v>
      </c>
      <c r="W355" s="26"/>
      <c r="X355" s="26"/>
      <c r="Y355" s="26"/>
      <c r="Z355" s="26"/>
      <c r="AA355" s="26"/>
      <c r="AB355" s="26">
        <f t="shared" si="188"/>
        <v>96.311</v>
      </c>
      <c r="AC355" s="46"/>
      <c r="AD355" s="46"/>
      <c r="AE355" s="46"/>
      <c r="AF355" s="26">
        <f>ROUND((AD355+AE355+AC355)*$AF$4,2)</f>
        <v>0</v>
      </c>
      <c r="AG355" s="26">
        <f>ROUND((AD355+AE355+AF355+AC355)*AG$4,2)</f>
        <v>0</v>
      </c>
      <c r="AH355" s="26">
        <f>ROUND((AD355+AE355+AF355+AG355+AC355)*AH$4,2)</f>
        <v>0</v>
      </c>
      <c r="AI355" s="26">
        <f t="shared" si="190"/>
        <v>0</v>
      </c>
      <c r="AJ355" s="26">
        <f t="shared" si="191"/>
        <v>0</v>
      </c>
      <c r="AK355" s="26">
        <f t="shared" si="192"/>
        <v>0</v>
      </c>
      <c r="AL355" s="26">
        <f t="shared" si="193"/>
        <v>0</v>
      </c>
      <c r="AM355" s="25"/>
      <c r="AN355" s="86"/>
      <c r="AO355" s="50"/>
      <c r="AP355" s="50"/>
      <c r="AQ355" s="50"/>
      <c r="AR355" s="50"/>
      <c r="AS355" s="50"/>
      <c r="AT355" s="50"/>
    </row>
    <row r="356" s="1" customFormat="1" ht="48" customHeight="1" outlineLevel="2" spans="1:46">
      <c r="A356" s="25">
        <v>3</v>
      </c>
      <c r="B356" s="23" t="s">
        <v>706</v>
      </c>
      <c r="C356" s="22" t="s">
        <v>707</v>
      </c>
      <c r="D356" s="24" t="s">
        <v>162</v>
      </c>
      <c r="E356" s="27"/>
      <c r="F356" s="27"/>
      <c r="G356" s="25" t="s">
        <v>173</v>
      </c>
      <c r="H356" s="26"/>
      <c r="I356" s="26"/>
      <c r="J356" s="26"/>
      <c r="K356" s="26"/>
      <c r="L356" s="26"/>
      <c r="M356" s="26"/>
      <c r="N356" s="26"/>
      <c r="O356" s="26"/>
      <c r="P356" s="26"/>
      <c r="Q356" s="26"/>
      <c r="R356" s="26"/>
      <c r="S356" s="26"/>
      <c r="T356" s="26"/>
      <c r="U356" s="26"/>
      <c r="V356" s="26"/>
      <c r="W356" s="26"/>
      <c r="X356" s="26"/>
      <c r="Y356" s="26"/>
      <c r="Z356" s="26">
        <v>100</v>
      </c>
      <c r="AA356" s="26"/>
      <c r="AB356" s="26">
        <f t="shared" si="188"/>
        <v>100</v>
      </c>
      <c r="AC356" s="74"/>
      <c r="AD356" s="74"/>
      <c r="AE356" s="74"/>
      <c r="AF356" s="26">
        <f>ROUND((AD356+AE356+AC356)*$AF$4,2)</f>
        <v>0</v>
      </c>
      <c r="AG356" s="26">
        <f>ROUND((AD356+AE356+AF356+AC356)*AG$4,2)</f>
        <v>0</v>
      </c>
      <c r="AH356" s="26">
        <f>ROUND((AD356+AE356+AF356+AG356+AC356)*AH$4,2)</f>
        <v>0</v>
      </c>
      <c r="AI356" s="26">
        <f t="shared" si="190"/>
        <v>0</v>
      </c>
      <c r="AJ356" s="26">
        <f t="shared" si="191"/>
        <v>0</v>
      </c>
      <c r="AK356" s="26">
        <f t="shared" si="192"/>
        <v>0</v>
      </c>
      <c r="AL356" s="26">
        <f t="shared" si="193"/>
        <v>0</v>
      </c>
      <c r="AM356" s="25"/>
      <c r="AN356" s="86"/>
      <c r="AO356" s="50"/>
      <c r="AP356" s="50"/>
      <c r="AQ356" s="50"/>
      <c r="AR356" s="50"/>
      <c r="AS356" s="50"/>
      <c r="AT356" s="50"/>
    </row>
    <row r="357" s="1" customFormat="1" ht="48" customHeight="1" outlineLevel="2" spans="1:45">
      <c r="A357" s="25">
        <v>4</v>
      </c>
      <c r="B357" s="23" t="s">
        <v>251</v>
      </c>
      <c r="C357" s="23" t="s">
        <v>252</v>
      </c>
      <c r="D357" s="24" t="s">
        <v>351</v>
      </c>
      <c r="E357" s="35"/>
      <c r="F357" s="35"/>
      <c r="G357" s="25" t="s">
        <v>173</v>
      </c>
      <c r="H357" s="26"/>
      <c r="I357" s="26"/>
      <c r="J357" s="26"/>
      <c r="K357" s="26"/>
      <c r="L357" s="26"/>
      <c r="M357" s="26"/>
      <c r="N357" s="26"/>
      <c r="O357" s="26"/>
      <c r="P357" s="26"/>
      <c r="Q357" s="26"/>
      <c r="R357" s="26"/>
      <c r="S357" s="26"/>
      <c r="T357" s="26"/>
      <c r="U357" s="26"/>
      <c r="V357" s="26"/>
      <c r="W357" s="26"/>
      <c r="X357" s="26"/>
      <c r="Y357" s="26"/>
      <c r="Z357" s="26"/>
      <c r="AA357" s="26"/>
      <c r="AB357" s="26">
        <v>200</v>
      </c>
      <c r="AC357" s="46"/>
      <c r="AD357" s="46"/>
      <c r="AE357" s="46"/>
      <c r="AF357" s="26">
        <f>ROUND((AD357+AE357+AC357)*$AF$4,2)</f>
        <v>0</v>
      </c>
      <c r="AG357" s="26">
        <f>ROUND((AD357+AE357+AF357+AC357)*AG$4,2)</f>
        <v>0</v>
      </c>
      <c r="AH357" s="26">
        <f>ROUND((AD357+AE357+AF357+AG357+AC357)*AH$4,2)</f>
        <v>0</v>
      </c>
      <c r="AI357" s="26">
        <f t="shared" si="190"/>
        <v>0</v>
      </c>
      <c r="AJ357" s="26">
        <f t="shared" si="191"/>
        <v>0</v>
      </c>
      <c r="AK357" s="26">
        <f t="shared" si="192"/>
        <v>0</v>
      </c>
      <c r="AL357" s="26">
        <f t="shared" si="193"/>
        <v>0</v>
      </c>
      <c r="AM357" s="24"/>
      <c r="AN357" s="86"/>
      <c r="AO357" s="50"/>
      <c r="AP357" s="9"/>
      <c r="AQ357" s="50"/>
      <c r="AR357" s="50"/>
      <c r="AS357" s="50"/>
    </row>
    <row r="358" s="1" customFormat="1" ht="48" customHeight="1" outlineLevel="2" spans="1:45">
      <c r="A358" s="25">
        <v>5</v>
      </c>
      <c r="B358" s="23" t="s">
        <v>251</v>
      </c>
      <c r="C358" s="23" t="s">
        <v>708</v>
      </c>
      <c r="D358" s="24" t="s">
        <v>351</v>
      </c>
      <c r="E358" s="35"/>
      <c r="F358" s="35"/>
      <c r="G358" s="25" t="s">
        <v>173</v>
      </c>
      <c r="H358" s="26"/>
      <c r="I358" s="26"/>
      <c r="J358" s="26"/>
      <c r="K358" s="26"/>
      <c r="L358" s="26"/>
      <c r="M358" s="26"/>
      <c r="N358" s="26"/>
      <c r="O358" s="26"/>
      <c r="P358" s="26"/>
      <c r="Q358" s="26"/>
      <c r="R358" s="26"/>
      <c r="S358" s="26"/>
      <c r="T358" s="26"/>
      <c r="U358" s="26"/>
      <c r="V358" s="26"/>
      <c r="W358" s="26"/>
      <c r="X358" s="26"/>
      <c r="Y358" s="26"/>
      <c r="Z358" s="26"/>
      <c r="AA358" s="26"/>
      <c r="AB358" s="26">
        <v>100</v>
      </c>
      <c r="AC358" s="46"/>
      <c r="AD358" s="46"/>
      <c r="AE358" s="46"/>
      <c r="AF358" s="26">
        <f>ROUND((AD358+AE358+AC358)*$AF$4,2)</f>
        <v>0</v>
      </c>
      <c r="AG358" s="26">
        <f>ROUND((AD358+AE358+AF358+AC358)*AG$4,2)</f>
        <v>0</v>
      </c>
      <c r="AH358" s="26">
        <f>ROUND((AD358+AE358+AF358+AG358+AC358)*AH$4,2)</f>
        <v>0</v>
      </c>
      <c r="AI358" s="26">
        <f t="shared" si="190"/>
        <v>0</v>
      </c>
      <c r="AJ358" s="26">
        <f t="shared" si="191"/>
        <v>0</v>
      </c>
      <c r="AK358" s="26">
        <f t="shared" si="192"/>
        <v>0</v>
      </c>
      <c r="AL358" s="26">
        <f t="shared" si="193"/>
        <v>0</v>
      </c>
      <c r="AM358" s="24"/>
      <c r="AN358" s="86"/>
      <c r="AO358" s="50"/>
      <c r="AP358" s="9"/>
      <c r="AQ358" s="50"/>
      <c r="AR358" s="50"/>
      <c r="AS358" s="50"/>
    </row>
    <row r="359" s="1" customFormat="1" ht="30" customHeight="1" outlineLevel="1" spans="1:45">
      <c r="A359" s="13" t="s">
        <v>176</v>
      </c>
      <c r="B359" s="13" t="s">
        <v>177</v>
      </c>
      <c r="C359" s="21" t="s">
        <v>356</v>
      </c>
      <c r="D359" s="36"/>
      <c r="E359" s="36"/>
      <c r="F359" s="36"/>
      <c r="G359" s="13" t="s">
        <v>179</v>
      </c>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f>AK341+AK353</f>
        <v>0</v>
      </c>
      <c r="AL359" s="16">
        <f>AL341+AL353</f>
        <v>0</v>
      </c>
      <c r="AM359" s="14"/>
      <c r="AN359" s="100"/>
      <c r="AQ359" s="7"/>
      <c r="AR359" s="7"/>
      <c r="AS359" s="7"/>
    </row>
    <row r="360" s="1" customFormat="1" ht="37" customHeight="1" spans="1:45">
      <c r="A360" s="17" t="s">
        <v>709</v>
      </c>
      <c r="B360" s="17"/>
      <c r="C360" s="17"/>
      <c r="D360" s="18"/>
      <c r="E360" s="81"/>
      <c r="F360" s="81"/>
      <c r="G360" s="81"/>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5">
        <f>AK371</f>
        <v>0</v>
      </c>
      <c r="AL360" s="85">
        <f>AL371</f>
        <v>0</v>
      </c>
      <c r="AM360" s="81"/>
      <c r="AN360" s="50"/>
      <c r="AO360" s="60"/>
      <c r="AP360" s="61"/>
      <c r="AQ360" s="60"/>
      <c r="AR360" s="60"/>
      <c r="AS360" s="60"/>
    </row>
    <row r="361" s="1" customFormat="1" ht="30" customHeight="1" outlineLevel="1" spans="1:45">
      <c r="A361" s="21" t="s">
        <v>680</v>
      </c>
      <c r="B361" s="22"/>
      <c r="C361" s="22"/>
      <c r="D361" s="24"/>
      <c r="E361" s="25"/>
      <c r="F361" s="25"/>
      <c r="G361" s="25"/>
      <c r="H361" s="26"/>
      <c r="I361" s="26"/>
      <c r="J361" s="26"/>
      <c r="K361" s="26"/>
      <c r="L361" s="26"/>
      <c r="M361" s="98"/>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16">
        <f>SUM(AK362:AK367)</f>
        <v>0</v>
      </c>
      <c r="AL361" s="16">
        <f>SUM(AL362:AL367)</f>
        <v>0</v>
      </c>
      <c r="AM361" s="25"/>
      <c r="AN361" s="100"/>
      <c r="AQ361" s="7"/>
      <c r="AR361" s="7"/>
      <c r="AS361" s="7"/>
    </row>
    <row r="362" s="1" customFormat="1" ht="228" outlineLevel="2" spans="1:46">
      <c r="A362" s="25">
        <v>1</v>
      </c>
      <c r="B362" s="23" t="s">
        <v>710</v>
      </c>
      <c r="C362" s="23" t="s">
        <v>711</v>
      </c>
      <c r="D362" s="24" t="s">
        <v>712</v>
      </c>
      <c r="E362" s="27"/>
      <c r="F362" s="27"/>
      <c r="G362" s="25" t="s">
        <v>146</v>
      </c>
      <c r="H362" s="26"/>
      <c r="I362" s="26">
        <v>1</v>
      </c>
      <c r="J362" s="26"/>
      <c r="K362" s="26"/>
      <c r="L362" s="26"/>
      <c r="M362" s="26"/>
      <c r="N362" s="26"/>
      <c r="O362" s="26"/>
      <c r="P362" s="26"/>
      <c r="Q362" s="26"/>
      <c r="R362" s="26"/>
      <c r="S362" s="26"/>
      <c r="T362" s="26"/>
      <c r="U362" s="26"/>
      <c r="V362" s="26"/>
      <c r="W362" s="26"/>
      <c r="X362" s="26"/>
      <c r="Y362" s="26"/>
      <c r="Z362" s="26"/>
      <c r="AA362" s="26"/>
      <c r="AB362" s="26">
        <v>1</v>
      </c>
      <c r="AC362" s="46"/>
      <c r="AD362" s="46"/>
      <c r="AE362" s="46"/>
      <c r="AF362" s="26">
        <f>ROUND((AD362+AE362+AC362)*$AF$4,2)</f>
        <v>0</v>
      </c>
      <c r="AG362" s="26">
        <f>ROUND((AD362+AE362+AF362+AC362)*AG$4,2)</f>
        <v>0</v>
      </c>
      <c r="AH362" s="26">
        <f>ROUND((AD362+AE362+AF362+AG362+AC362)*AH$4,2)</f>
        <v>0</v>
      </c>
      <c r="AI362" s="26">
        <f t="shared" ref="AI362:AI367" si="194">ROUND((AD362+AE362+AF362+AG362+AC362),2)</f>
        <v>0</v>
      </c>
      <c r="AJ362" s="26">
        <f t="shared" ref="AJ362:AJ367" si="195">ROUND((AD362+AE362+AF362+AG362+AH362+AC362),2)</f>
        <v>0</v>
      </c>
      <c r="AK362" s="26">
        <f t="shared" ref="AK362:AK367" si="196">ROUND((AI362*AB362),2)</f>
        <v>0</v>
      </c>
      <c r="AL362" s="26">
        <f t="shared" ref="AL362:AL367" si="197">ROUND((AJ362*AB362),2)</f>
        <v>0</v>
      </c>
      <c r="AM362" s="25"/>
      <c r="AN362" s="86"/>
      <c r="AO362" s="9"/>
      <c r="AP362" s="9"/>
      <c r="AQ362" s="50"/>
      <c r="AR362" s="50"/>
      <c r="AS362" s="50"/>
      <c r="AT362" s="9"/>
    </row>
    <row r="363" s="1" customFormat="1" ht="72" outlineLevel="2" spans="1:46">
      <c r="A363" s="25">
        <v>2</v>
      </c>
      <c r="B363" s="23" t="s">
        <v>713</v>
      </c>
      <c r="C363" s="23" t="s">
        <v>714</v>
      </c>
      <c r="D363" s="24" t="s">
        <v>712</v>
      </c>
      <c r="E363" s="27"/>
      <c r="F363" s="27"/>
      <c r="G363" s="25" t="s">
        <v>146</v>
      </c>
      <c r="H363" s="26"/>
      <c r="I363" s="26">
        <v>1</v>
      </c>
      <c r="J363" s="26"/>
      <c r="K363" s="26"/>
      <c r="L363" s="26"/>
      <c r="M363" s="26"/>
      <c r="N363" s="26"/>
      <c r="O363" s="26"/>
      <c r="P363" s="26"/>
      <c r="Q363" s="26"/>
      <c r="R363" s="26"/>
      <c r="S363" s="26"/>
      <c r="T363" s="26"/>
      <c r="U363" s="26"/>
      <c r="V363" s="26"/>
      <c r="W363" s="26"/>
      <c r="X363" s="26"/>
      <c r="Y363" s="26"/>
      <c r="Z363" s="26"/>
      <c r="AA363" s="26"/>
      <c r="AB363" s="26">
        <v>1</v>
      </c>
      <c r="AC363" s="46"/>
      <c r="AD363" s="46"/>
      <c r="AE363" s="46"/>
      <c r="AF363" s="26">
        <f>ROUND((AD363+AE363+AC363)*$AF$4,2)</f>
        <v>0</v>
      </c>
      <c r="AG363" s="26">
        <f>ROUND((AD363+AE363+AF363+AC363)*AG$4,2)</f>
        <v>0</v>
      </c>
      <c r="AH363" s="26">
        <f>ROUND((AD363+AE363+AF363+AG363+AC363)*AH$4,2)</f>
        <v>0</v>
      </c>
      <c r="AI363" s="26">
        <f t="shared" si="194"/>
        <v>0</v>
      </c>
      <c r="AJ363" s="26">
        <f t="shared" si="195"/>
        <v>0</v>
      </c>
      <c r="AK363" s="26">
        <f t="shared" si="196"/>
        <v>0</v>
      </c>
      <c r="AL363" s="26">
        <f t="shared" si="197"/>
        <v>0</v>
      </c>
      <c r="AM363" s="25"/>
      <c r="AN363" s="86"/>
      <c r="AO363" s="50"/>
      <c r="AP363" s="50"/>
      <c r="AQ363" s="50"/>
      <c r="AR363" s="50"/>
      <c r="AS363" s="50"/>
      <c r="AT363" s="50"/>
    </row>
    <row r="364" s="3" customFormat="1" ht="40" customHeight="1" outlineLevel="2" spans="1:46">
      <c r="A364" s="28">
        <v>3</v>
      </c>
      <c r="B364" s="30" t="s">
        <v>715</v>
      </c>
      <c r="C364" s="30" t="s">
        <v>716</v>
      </c>
      <c r="D364" s="31" t="s">
        <v>712</v>
      </c>
      <c r="E364" s="32"/>
      <c r="F364" s="32"/>
      <c r="G364" s="28" t="s">
        <v>146</v>
      </c>
      <c r="H364" s="33"/>
      <c r="I364" s="33">
        <v>1</v>
      </c>
      <c r="J364" s="33"/>
      <c r="K364" s="33"/>
      <c r="L364" s="33"/>
      <c r="M364" s="33"/>
      <c r="N364" s="33"/>
      <c r="O364" s="33"/>
      <c r="P364" s="33"/>
      <c r="Q364" s="33"/>
      <c r="R364" s="33"/>
      <c r="S364" s="33"/>
      <c r="T364" s="33"/>
      <c r="U364" s="33"/>
      <c r="V364" s="33"/>
      <c r="W364" s="33"/>
      <c r="X364" s="33"/>
      <c r="Y364" s="33"/>
      <c r="Z364" s="33"/>
      <c r="AA364" s="33"/>
      <c r="AB364" s="33">
        <v>1</v>
      </c>
      <c r="AC364" s="47"/>
      <c r="AD364" s="47"/>
      <c r="AE364" s="47"/>
      <c r="AF364" s="33">
        <f>ROUND((AD364+AE364+AC364)*$AF$4,2)</f>
        <v>0</v>
      </c>
      <c r="AG364" s="33">
        <f>ROUND((AD364+AE364+AF364+AC364)*AG$4,2)</f>
        <v>0</v>
      </c>
      <c r="AH364" s="33">
        <f>ROUND((AD364+AE364+AF364+AG364+AC364)*AH$4,2)</f>
        <v>0</v>
      </c>
      <c r="AI364" s="33">
        <f t="shared" si="194"/>
        <v>0</v>
      </c>
      <c r="AJ364" s="33">
        <f t="shared" si="195"/>
        <v>0</v>
      </c>
      <c r="AK364" s="33">
        <f t="shared" si="196"/>
        <v>0</v>
      </c>
      <c r="AL364" s="33">
        <f t="shared" si="197"/>
        <v>0</v>
      </c>
      <c r="AM364" s="28"/>
      <c r="AN364" s="119"/>
      <c r="AO364" s="124"/>
      <c r="AP364" s="53"/>
      <c r="AQ364" s="53"/>
      <c r="AR364" s="53"/>
      <c r="AS364" s="53"/>
      <c r="AT364" s="53"/>
    </row>
    <row r="365" s="3" customFormat="1" ht="90" customHeight="1" outlineLevel="2" spans="1:46">
      <c r="A365" s="28">
        <v>4</v>
      </c>
      <c r="B365" s="30" t="s">
        <v>717</v>
      </c>
      <c r="C365" s="30" t="s">
        <v>718</v>
      </c>
      <c r="D365" s="31" t="s">
        <v>712</v>
      </c>
      <c r="E365" s="32"/>
      <c r="F365" s="32"/>
      <c r="G365" s="28" t="s">
        <v>146</v>
      </c>
      <c r="H365" s="33"/>
      <c r="I365" s="33">
        <v>1</v>
      </c>
      <c r="J365" s="33"/>
      <c r="K365" s="33"/>
      <c r="L365" s="33"/>
      <c r="M365" s="33"/>
      <c r="N365" s="33"/>
      <c r="O365" s="33"/>
      <c r="P365" s="33"/>
      <c r="Q365" s="33"/>
      <c r="R365" s="33"/>
      <c r="S365" s="33"/>
      <c r="T365" s="33"/>
      <c r="U365" s="33"/>
      <c r="V365" s="33"/>
      <c r="W365" s="33"/>
      <c r="X365" s="33"/>
      <c r="Y365" s="33"/>
      <c r="Z365" s="33"/>
      <c r="AA365" s="33"/>
      <c r="AB365" s="33">
        <v>1</v>
      </c>
      <c r="AC365" s="47"/>
      <c r="AD365" s="47"/>
      <c r="AE365" s="47"/>
      <c r="AF365" s="33">
        <f>ROUND((AD365+AE365+AC365)*$AF$4,2)</f>
        <v>0</v>
      </c>
      <c r="AG365" s="33">
        <f>ROUND((AD365+AE365+AF365+AC365)*AG$4,2)</f>
        <v>0</v>
      </c>
      <c r="AH365" s="33">
        <f>ROUND((AD365+AE365+AF365+AG365+AC365)*AH$4,2)</f>
        <v>0</v>
      </c>
      <c r="AI365" s="33">
        <f t="shared" si="194"/>
        <v>0</v>
      </c>
      <c r="AJ365" s="33">
        <f t="shared" si="195"/>
        <v>0</v>
      </c>
      <c r="AK365" s="33">
        <f t="shared" si="196"/>
        <v>0</v>
      </c>
      <c r="AL365" s="33">
        <f t="shared" si="197"/>
        <v>0</v>
      </c>
      <c r="AM365" s="28"/>
      <c r="AN365" s="119"/>
      <c r="AO365" s="124"/>
      <c r="AP365" s="53"/>
      <c r="AQ365" s="53"/>
      <c r="AR365" s="53"/>
      <c r="AS365" s="53"/>
      <c r="AT365" s="53"/>
    </row>
    <row r="366" s="1" customFormat="1" ht="48" customHeight="1" outlineLevel="2" spans="1:46">
      <c r="A366" s="25">
        <v>5</v>
      </c>
      <c r="B366" s="23" t="s">
        <v>719</v>
      </c>
      <c r="C366" s="23"/>
      <c r="D366" s="24" t="s">
        <v>712</v>
      </c>
      <c r="E366" s="27"/>
      <c r="F366" s="27"/>
      <c r="G366" s="25" t="s">
        <v>146</v>
      </c>
      <c r="H366" s="26"/>
      <c r="I366" s="26">
        <v>1</v>
      </c>
      <c r="J366" s="26"/>
      <c r="K366" s="26"/>
      <c r="L366" s="26"/>
      <c r="M366" s="26"/>
      <c r="N366" s="26"/>
      <c r="O366" s="26"/>
      <c r="P366" s="26"/>
      <c r="Q366" s="26"/>
      <c r="R366" s="26"/>
      <c r="S366" s="26"/>
      <c r="T366" s="26"/>
      <c r="U366" s="26"/>
      <c r="V366" s="26"/>
      <c r="W366" s="26"/>
      <c r="X366" s="26"/>
      <c r="Y366" s="26"/>
      <c r="Z366" s="26"/>
      <c r="AA366" s="26"/>
      <c r="AB366" s="26">
        <f>SUM(H366:AA366)</f>
        <v>1</v>
      </c>
      <c r="AC366" s="46"/>
      <c r="AD366" s="46"/>
      <c r="AE366" s="46"/>
      <c r="AF366" s="26">
        <f>ROUND((AD366+AE366+AC366)*$AF$4,2)</f>
        <v>0</v>
      </c>
      <c r="AG366" s="26">
        <f>ROUND((AD366+AE366+AF366+AC366)*AG$4,2)</f>
        <v>0</v>
      </c>
      <c r="AH366" s="26">
        <f>ROUND((AD366+AE366+AF366+AG366+AC366)*AH$4,2)</f>
        <v>0</v>
      </c>
      <c r="AI366" s="26">
        <f t="shared" si="194"/>
        <v>0</v>
      </c>
      <c r="AJ366" s="26">
        <f t="shared" si="195"/>
        <v>0</v>
      </c>
      <c r="AK366" s="26">
        <f t="shared" si="196"/>
        <v>0</v>
      </c>
      <c r="AL366" s="26">
        <f t="shared" si="197"/>
        <v>0</v>
      </c>
      <c r="AM366" s="23"/>
      <c r="AN366" s="86"/>
      <c r="AO366" s="50"/>
      <c r="AP366" s="50"/>
      <c r="AQ366" s="50"/>
      <c r="AR366" s="50"/>
      <c r="AS366" s="50"/>
      <c r="AT366" s="50"/>
    </row>
    <row r="367" s="1" customFormat="1" ht="61" customHeight="1" outlineLevel="2" spans="1:46">
      <c r="A367" s="25">
        <v>6</v>
      </c>
      <c r="B367" s="23" t="s">
        <v>239</v>
      </c>
      <c r="C367" s="23" t="s">
        <v>720</v>
      </c>
      <c r="D367" s="24" t="s">
        <v>712</v>
      </c>
      <c r="E367" s="27"/>
      <c r="F367" s="27"/>
      <c r="G367" s="25" t="s">
        <v>146</v>
      </c>
      <c r="H367" s="26"/>
      <c r="I367" s="26">
        <v>1</v>
      </c>
      <c r="J367" s="26"/>
      <c r="K367" s="26"/>
      <c r="L367" s="26"/>
      <c r="M367" s="26"/>
      <c r="N367" s="26"/>
      <c r="O367" s="26"/>
      <c r="P367" s="26"/>
      <c r="Q367" s="26"/>
      <c r="R367" s="26"/>
      <c r="S367" s="26"/>
      <c r="T367" s="26"/>
      <c r="U367" s="26"/>
      <c r="V367" s="26"/>
      <c r="W367" s="26"/>
      <c r="X367" s="26"/>
      <c r="Y367" s="26"/>
      <c r="Z367" s="26"/>
      <c r="AA367" s="26"/>
      <c r="AB367" s="26">
        <f>SUM(H367:AA367)</f>
        <v>1</v>
      </c>
      <c r="AC367" s="46"/>
      <c r="AD367" s="46"/>
      <c r="AE367" s="46"/>
      <c r="AF367" s="26">
        <f>ROUND((AD367+AE367+AC367)*$AF$4,2)</f>
        <v>0</v>
      </c>
      <c r="AG367" s="26">
        <f>ROUND((AD367+AE367+AF367+AC367)*AG$4,2)</f>
        <v>0</v>
      </c>
      <c r="AH367" s="26">
        <f>ROUND((AD367+AE367+AF367+AG367+AC367)*AH$4,2)</f>
        <v>0</v>
      </c>
      <c r="AI367" s="26">
        <f t="shared" si="194"/>
        <v>0</v>
      </c>
      <c r="AJ367" s="26">
        <f t="shared" si="195"/>
        <v>0</v>
      </c>
      <c r="AK367" s="26">
        <f t="shared" si="196"/>
        <v>0</v>
      </c>
      <c r="AL367" s="26">
        <f t="shared" si="197"/>
        <v>0</v>
      </c>
      <c r="AM367" s="23"/>
      <c r="AN367" s="86"/>
      <c r="AO367" s="50"/>
      <c r="AP367" s="50"/>
      <c r="AQ367" s="50"/>
      <c r="AR367" s="50"/>
      <c r="AS367" s="50"/>
      <c r="AT367" s="50"/>
    </row>
    <row r="368" s="1" customFormat="1" ht="30" customHeight="1" outlineLevel="1" spans="1:45">
      <c r="A368" s="21" t="s">
        <v>703</v>
      </c>
      <c r="B368" s="22"/>
      <c r="C368" s="22"/>
      <c r="D368" s="24"/>
      <c r="E368" s="25"/>
      <c r="F368" s="25"/>
      <c r="G368" s="25"/>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16">
        <f>SUM(AK369:AK370)</f>
        <v>0</v>
      </c>
      <c r="AL368" s="16">
        <f>SUM(AL369:AL370)</f>
        <v>0</v>
      </c>
      <c r="AM368" s="25"/>
      <c r="AN368" s="100"/>
      <c r="AQ368" s="7"/>
      <c r="AR368" s="7"/>
      <c r="AS368" s="7"/>
    </row>
    <row r="369" s="1" customFormat="1" ht="48" customHeight="1" outlineLevel="2" spans="1:46">
      <c r="A369" s="25">
        <v>1</v>
      </c>
      <c r="B369" s="23" t="s">
        <v>721</v>
      </c>
      <c r="C369" s="22" t="s">
        <v>722</v>
      </c>
      <c r="D369" s="24" t="s">
        <v>712</v>
      </c>
      <c r="E369" s="27"/>
      <c r="F369" s="27"/>
      <c r="G369" s="25" t="s">
        <v>173</v>
      </c>
      <c r="H369" s="26"/>
      <c r="I369" s="26"/>
      <c r="J369" s="26"/>
      <c r="K369" s="26"/>
      <c r="L369" s="26"/>
      <c r="M369" s="26"/>
      <c r="N369" s="26"/>
      <c r="O369" s="26"/>
      <c r="P369" s="26"/>
      <c r="Q369" s="26"/>
      <c r="R369" s="26"/>
      <c r="S369" s="26"/>
      <c r="T369" s="26"/>
      <c r="U369" s="26"/>
      <c r="V369" s="26"/>
      <c r="W369" s="26"/>
      <c r="X369" s="26"/>
      <c r="Y369" s="26"/>
      <c r="Z369" s="26"/>
      <c r="AA369" s="26"/>
      <c r="AB369" s="26">
        <v>200</v>
      </c>
      <c r="AC369" s="46"/>
      <c r="AD369" s="46"/>
      <c r="AE369" s="46"/>
      <c r="AF369" s="26">
        <f>ROUND((AD369+AE369+AC369)*$AF$4,2)</f>
        <v>0</v>
      </c>
      <c r="AG369" s="26">
        <f>ROUND((AD369+AE369+AF369+AC369)*AG$4,2)</f>
        <v>0</v>
      </c>
      <c r="AH369" s="26">
        <f>ROUND((AD369+AE369+AF369+AG369+AC369)*AH$4,2)</f>
        <v>0</v>
      </c>
      <c r="AI369" s="26">
        <f>ROUND((AD369+AE369+AF369+AG369+AC369),2)</f>
        <v>0</v>
      </c>
      <c r="AJ369" s="26">
        <f>ROUND((AD369+AE369+AF369+AG369+AH369+AC369),2)</f>
        <v>0</v>
      </c>
      <c r="AK369" s="26">
        <f>ROUND((AI369*AB369),2)</f>
        <v>0</v>
      </c>
      <c r="AL369" s="26">
        <f>ROUND((AJ369*AB369),2)</f>
        <v>0</v>
      </c>
      <c r="AM369" s="25"/>
      <c r="AN369" s="86"/>
      <c r="AO369" s="50"/>
      <c r="AP369" s="50"/>
      <c r="AQ369" s="50"/>
      <c r="AR369" s="50"/>
      <c r="AS369" s="50"/>
      <c r="AT369" s="50"/>
    </row>
    <row r="370" s="1" customFormat="1" ht="48" customHeight="1" outlineLevel="2" spans="1:46">
      <c r="A370" s="25">
        <v>2</v>
      </c>
      <c r="B370" s="23" t="s">
        <v>723</v>
      </c>
      <c r="C370" s="22" t="s">
        <v>350</v>
      </c>
      <c r="D370" s="24" t="s">
        <v>250</v>
      </c>
      <c r="E370" s="27"/>
      <c r="F370" s="27"/>
      <c r="G370" s="25" t="s">
        <v>173</v>
      </c>
      <c r="H370" s="26"/>
      <c r="I370" s="26"/>
      <c r="J370" s="26"/>
      <c r="K370" s="26"/>
      <c r="L370" s="26"/>
      <c r="M370" s="26"/>
      <c r="N370" s="26"/>
      <c r="O370" s="26"/>
      <c r="P370" s="26"/>
      <c r="Q370" s="26"/>
      <c r="R370" s="26"/>
      <c r="S370" s="26"/>
      <c r="T370" s="26"/>
      <c r="U370" s="26"/>
      <c r="V370" s="26"/>
      <c r="W370" s="26"/>
      <c r="X370" s="26"/>
      <c r="Y370" s="26"/>
      <c r="Z370" s="26"/>
      <c r="AA370" s="26"/>
      <c r="AB370" s="26">
        <v>120</v>
      </c>
      <c r="AC370" s="46"/>
      <c r="AD370" s="46"/>
      <c r="AE370" s="46"/>
      <c r="AF370" s="26">
        <f>ROUND((AD370+AE370+AC370)*$AF$4,2)</f>
        <v>0</v>
      </c>
      <c r="AG370" s="26">
        <f>ROUND((AD370+AE370+AF370+AC370)*AG$4,2)</f>
        <v>0</v>
      </c>
      <c r="AH370" s="26">
        <f>ROUND((AD370+AE370+AF370+AG370+AC370)*AH$4,2)</f>
        <v>0</v>
      </c>
      <c r="AI370" s="26">
        <f>ROUND((AD370+AE370+AF370+AG370+AC370),2)</f>
        <v>0</v>
      </c>
      <c r="AJ370" s="26">
        <f>ROUND((AD370+AE370+AF370+AG370+AH370+AC370),2)</f>
        <v>0</v>
      </c>
      <c r="AK370" s="26">
        <f>ROUND((AI370*AB370),2)</f>
        <v>0</v>
      </c>
      <c r="AL370" s="26">
        <f>ROUND((AJ370*AB370),2)</f>
        <v>0</v>
      </c>
      <c r="AM370" s="25"/>
      <c r="AN370" s="86"/>
      <c r="AO370" s="50"/>
      <c r="AP370" s="50"/>
      <c r="AQ370" s="50"/>
      <c r="AR370" s="50"/>
      <c r="AS370" s="50"/>
      <c r="AT370" s="50"/>
    </row>
    <row r="371" s="1" customFormat="1" ht="30" customHeight="1" outlineLevel="1" spans="1:45">
      <c r="A371" s="13" t="s">
        <v>176</v>
      </c>
      <c r="B371" s="13" t="s">
        <v>177</v>
      </c>
      <c r="C371" s="21" t="s">
        <v>356</v>
      </c>
      <c r="D371" s="36"/>
      <c r="E371" s="36"/>
      <c r="F371" s="36"/>
      <c r="G371" s="13" t="s">
        <v>179</v>
      </c>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f>AK361+AK368</f>
        <v>0</v>
      </c>
      <c r="AL371" s="16">
        <f>AL361+AL368</f>
        <v>0</v>
      </c>
      <c r="AM371" s="14"/>
      <c r="AN371" s="100"/>
      <c r="AQ371" s="7"/>
      <c r="AR371" s="7"/>
      <c r="AS371" s="7"/>
    </row>
    <row r="372" s="1" customFormat="1" ht="37" customHeight="1" spans="1:40">
      <c r="A372" s="118" t="s">
        <v>724</v>
      </c>
      <c r="B372" s="118"/>
      <c r="C372" s="118"/>
      <c r="D372" s="118"/>
      <c r="E372" s="69"/>
      <c r="F372" s="69"/>
      <c r="G372" s="69"/>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121">
        <f>AK5+AK28+AK67+AK98+AK103+AK110+AK132+AK163+AK209+AK231+AK237+AK253+AK271+AK285+AK308+AK336+AK340+AK360</f>
        <v>0</v>
      </c>
      <c r="AL372" s="121">
        <f>AL5+AL28+AL67+AL98+AL103+AL110+AL132+AL163+AL209+AL231+AL237+AL253+AL271+AL285+AL308+AL336+AL340+AL360</f>
        <v>0</v>
      </c>
      <c r="AM372" s="69"/>
      <c r="AN372" s="9"/>
    </row>
  </sheetData>
  <sheetProtection password="CF7A" sheet="1" formatCells="0" formatColumns="0" formatRows="0"/>
  <protectedRanges>
    <protectedRange sqref="AF4:AG4" name="区域2"/>
    <protectedRange sqref="AC$1:AE$1048576" name="区域1"/>
  </protectedRanges>
  <mergeCells count="81">
    <mergeCell ref="A1:AM1"/>
    <mergeCell ref="A5:D5"/>
    <mergeCell ref="C27:D27"/>
    <mergeCell ref="A28:D28"/>
    <mergeCell ref="C66:D66"/>
    <mergeCell ref="A67:D67"/>
    <mergeCell ref="C97:D97"/>
    <mergeCell ref="A98:D98"/>
    <mergeCell ref="C102:D102"/>
    <mergeCell ref="A103:D103"/>
    <mergeCell ref="C109:D109"/>
    <mergeCell ref="A110:D110"/>
    <mergeCell ref="C131:D131"/>
    <mergeCell ref="A132:D132"/>
    <mergeCell ref="C162:D162"/>
    <mergeCell ref="A163:D163"/>
    <mergeCell ref="C208:D208"/>
    <mergeCell ref="A209:D209"/>
    <mergeCell ref="C230:D230"/>
    <mergeCell ref="A231:D231"/>
    <mergeCell ref="C236:D236"/>
    <mergeCell ref="A237:D237"/>
    <mergeCell ref="C252:D252"/>
    <mergeCell ref="A253:D253"/>
    <mergeCell ref="C270:D270"/>
    <mergeCell ref="A271:D271"/>
    <mergeCell ref="C284:D284"/>
    <mergeCell ref="A285:D285"/>
    <mergeCell ref="A304:B304"/>
    <mergeCell ref="C307:D307"/>
    <mergeCell ref="A308:D308"/>
    <mergeCell ref="C335:D335"/>
    <mergeCell ref="A336:D336"/>
    <mergeCell ref="C339:D339"/>
    <mergeCell ref="A340:D340"/>
    <mergeCell ref="C359:D359"/>
    <mergeCell ref="A360:D360"/>
    <mergeCell ref="C371:D371"/>
    <mergeCell ref="A372:D372"/>
    <mergeCell ref="A2:A4"/>
    <mergeCell ref="B2:B4"/>
    <mergeCell ref="C2:C4"/>
    <mergeCell ref="D2:D4"/>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K2:AK4"/>
    <mergeCell ref="AL2:AL4"/>
    <mergeCell ref="AM2:AM4"/>
    <mergeCell ref="AM233:AM235"/>
    <mergeCell ref="AO2:AO4"/>
    <mergeCell ref="AP2:AP4"/>
    <mergeCell ref="AQ2:AQ4"/>
    <mergeCell ref="AR2:AR4"/>
    <mergeCell ref="AS2:AS4"/>
    <mergeCell ref="AT2:AT4"/>
    <mergeCell ref="AV2:AV4"/>
  </mergeCells>
  <pageMargins left="0.7" right="0.7" top="0.75" bottom="0.75" header="0.3" footer="0.3"/>
  <pageSetup paperSize="9" scale="11" orientation="portrait"/>
  <headerFooter/>
  <rowBreaks count="1" manualBreakCount="1">
    <brk id="271" max="16383" man="1"/>
  </rowBreaks>
  <colBreaks count="1" manualBreakCount="1">
    <brk id="3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rangeList sheetStid="5" master=""/>
  <rangeList sheetStid="1" master=""/>
  <rangeList sheetStid="2" master="">
    <arrUserId title="区域2" rangeCreator="" othersAccessPermission="edit"/>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4</vt:i4>
      </vt:variant>
    </vt:vector>
  </HeadingPairs>
  <TitlesOfParts>
    <vt:vector size="4" baseType="lpstr">
      <vt:lpstr>招标清单封面</vt:lpstr>
      <vt:lpstr>编制说明</vt:lpstr>
      <vt:lpstr>一期造价汇总</vt:lpstr>
      <vt:lpstr>1、智能化清单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舍予</cp:lastModifiedBy>
  <dcterms:created xsi:type="dcterms:W3CDTF">2022-12-01T01:22:00Z</dcterms:created>
  <dcterms:modified xsi:type="dcterms:W3CDTF">2023-11-13T11:00:19Z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36C11422863840B69028C8C332F83483_13</vt:lpwstr>
  </property>
  <property fmtid="{D5CDD505-2E9C-101B-9397-08002B2CF9AE}" pid="3" name="KSOProductBuildVer">
    <vt:lpwstr>2052-12.1.0.15712</vt:lpwstr>
  </property>
  <property fmtid="{D5CDD505-2E9C-101B-9397-08002B2CF9AE}" pid="4" name="KSOReadingLayout">
    <vt:bool>true</vt:bool>
  </property>
</Properties>
</file>